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A:\Sportsbetcapping Files\Records\"/>
    </mc:Choice>
  </mc:AlternateContent>
  <xr:revisionPtr revIDLastSave="0" documentId="8_{E8145F28-1E8A-493B-903E-B357E8DF5C6E}" xr6:coauthVersionLast="47" xr6:coauthVersionMax="47" xr10:uidLastSave="{00000000-0000-0000-0000-000000000000}"/>
  <bookViews>
    <workbookView xWindow="16080" yWindow="3015" windowWidth="29040" windowHeight="15840" xr2:uid="{00000000-000D-0000-FFFF-FFFF00000000}"/>
  </bookViews>
  <sheets>
    <sheet name="Freddywills's_Records_-_08-03-2" sheetId="1" r:id="rId1"/>
  </sheets>
  <externalReferences>
    <externalReference r:id="rId2"/>
  </externalReferences>
  <definedNames>
    <definedName name="_xlnm._FilterDatabase" localSheetId="0" hidden="1">'Freddywills''s_Records_-_08-03-2'!$A$36:$H$3539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J21" i="1"/>
  <c r="J20" i="1"/>
  <c r="J19" i="1"/>
  <c r="J18" i="1"/>
  <c r="J17" i="1"/>
  <c r="J16" i="1"/>
  <c r="J15" i="1"/>
  <c r="J14" i="1"/>
  <c r="J13" i="1"/>
  <c r="J12" i="1"/>
  <c r="J11" i="1"/>
  <c r="J10" i="1"/>
  <c r="I334" i="1"/>
  <c r="I641" i="1"/>
  <c r="I640" i="1" s="1"/>
  <c r="I639" i="1" s="1"/>
  <c r="I638" i="1" s="1"/>
  <c r="I637" i="1" s="1"/>
  <c r="I636" i="1" s="1"/>
  <c r="I635" i="1" s="1"/>
  <c r="I634" i="1" s="1"/>
  <c r="I633" i="1" s="1"/>
  <c r="I632" i="1" s="1"/>
  <c r="I631" i="1" s="1"/>
  <c r="I630" i="1" s="1"/>
  <c r="I629" i="1" s="1"/>
  <c r="I628" i="1" s="1"/>
  <c r="I627" i="1" s="1"/>
  <c r="I626" i="1" s="1"/>
  <c r="I625" i="1" s="1"/>
  <c r="I624" i="1" s="1"/>
  <c r="I623" i="1" s="1"/>
  <c r="I622" i="1" s="1"/>
  <c r="I621" i="1" s="1"/>
  <c r="I620" i="1" s="1"/>
  <c r="I619" i="1" s="1"/>
  <c r="I618" i="1" s="1"/>
  <c r="I617" i="1" s="1"/>
  <c r="I616" i="1" s="1"/>
  <c r="I615" i="1" s="1"/>
  <c r="I614" i="1" s="1"/>
  <c r="I613" i="1" s="1"/>
  <c r="I612" i="1" s="1"/>
  <c r="I611" i="1" s="1"/>
  <c r="I610" i="1" s="1"/>
  <c r="I609" i="1" s="1"/>
  <c r="I608" i="1" s="1"/>
  <c r="I607" i="1" s="1"/>
  <c r="I606" i="1" s="1"/>
  <c r="I605" i="1" s="1"/>
  <c r="I604" i="1" s="1"/>
  <c r="I603" i="1" s="1"/>
  <c r="I602" i="1" s="1"/>
  <c r="I601" i="1" s="1"/>
  <c r="I600" i="1" s="1"/>
  <c r="I599" i="1" s="1"/>
  <c r="I598" i="1" s="1"/>
  <c r="I597" i="1" s="1"/>
  <c r="I596" i="1" s="1"/>
  <c r="I595" i="1" s="1"/>
  <c r="I594" i="1" s="1"/>
  <c r="I593" i="1" s="1"/>
  <c r="I592" i="1" s="1"/>
  <c r="I591" i="1" s="1"/>
  <c r="I590" i="1" s="1"/>
  <c r="I589" i="1" s="1"/>
  <c r="I588" i="1" s="1"/>
  <c r="I587" i="1" s="1"/>
  <c r="I586" i="1" s="1"/>
  <c r="I585" i="1" s="1"/>
  <c r="I584" i="1" s="1"/>
  <c r="I583" i="1" s="1"/>
  <c r="I582" i="1" s="1"/>
  <c r="I581" i="1" s="1"/>
  <c r="I580" i="1" s="1"/>
  <c r="I579" i="1" s="1"/>
  <c r="I578" i="1" s="1"/>
  <c r="I577" i="1" s="1"/>
  <c r="I576" i="1" s="1"/>
  <c r="I575" i="1" s="1"/>
  <c r="I574" i="1" s="1"/>
  <c r="I573" i="1" s="1"/>
  <c r="I572" i="1" s="1"/>
  <c r="I571" i="1" s="1"/>
  <c r="I570" i="1" s="1"/>
  <c r="I569" i="1" s="1"/>
  <c r="I568" i="1" s="1"/>
  <c r="I567" i="1" s="1"/>
  <c r="I566" i="1" s="1"/>
  <c r="I565" i="1" s="1"/>
  <c r="I564" i="1" s="1"/>
  <c r="I563" i="1" s="1"/>
  <c r="I562" i="1" s="1"/>
  <c r="I561" i="1" s="1"/>
  <c r="I560" i="1" s="1"/>
  <c r="I559" i="1" s="1"/>
  <c r="I558" i="1" s="1"/>
  <c r="I557" i="1" s="1"/>
  <c r="I556" i="1" s="1"/>
  <c r="I555" i="1" s="1"/>
  <c r="I554" i="1" s="1"/>
  <c r="I553" i="1" s="1"/>
  <c r="I552" i="1" s="1"/>
  <c r="I551" i="1" s="1"/>
  <c r="I550" i="1" s="1"/>
  <c r="I549" i="1" s="1"/>
  <c r="I548" i="1" s="1"/>
  <c r="I547" i="1" s="1"/>
  <c r="I546" i="1" s="1"/>
  <c r="I545" i="1" s="1"/>
  <c r="I544" i="1" s="1"/>
  <c r="I543" i="1" s="1"/>
  <c r="I542" i="1" s="1"/>
  <c r="I541" i="1" s="1"/>
  <c r="I540" i="1" s="1"/>
  <c r="I539" i="1" s="1"/>
  <c r="I538" i="1" s="1"/>
  <c r="I537" i="1" s="1"/>
  <c r="I536" i="1" s="1"/>
  <c r="I535" i="1" s="1"/>
  <c r="I534" i="1" s="1"/>
  <c r="I533" i="1" s="1"/>
  <c r="I532" i="1" s="1"/>
  <c r="I531" i="1" s="1"/>
  <c r="I530" i="1" s="1"/>
  <c r="I529" i="1" s="1"/>
  <c r="I528" i="1" s="1"/>
  <c r="I527" i="1" s="1"/>
  <c r="I526" i="1" s="1"/>
  <c r="I525" i="1" s="1"/>
  <c r="I524" i="1" s="1"/>
  <c r="I523" i="1" s="1"/>
  <c r="I522" i="1" s="1"/>
  <c r="I521" i="1" s="1"/>
  <c r="I520" i="1" s="1"/>
  <c r="I519" i="1" s="1"/>
  <c r="I518" i="1" s="1"/>
  <c r="I517" i="1" s="1"/>
  <c r="I516" i="1" s="1"/>
  <c r="I515" i="1" s="1"/>
  <c r="I514" i="1" s="1"/>
  <c r="I513" i="1" s="1"/>
  <c r="I512" i="1" s="1"/>
  <c r="I511" i="1" s="1"/>
  <c r="I510" i="1" s="1"/>
  <c r="I509" i="1" s="1"/>
  <c r="I508" i="1" s="1"/>
  <c r="I507" i="1" s="1"/>
  <c r="I506" i="1" s="1"/>
  <c r="I505" i="1" s="1"/>
  <c r="I504" i="1" s="1"/>
  <c r="I503" i="1" s="1"/>
  <c r="I502" i="1" s="1"/>
  <c r="I501" i="1" s="1"/>
  <c r="I500" i="1" s="1"/>
  <c r="I499" i="1" s="1"/>
  <c r="I498" i="1" s="1"/>
  <c r="I497" i="1" s="1"/>
  <c r="I496" i="1" s="1"/>
  <c r="I495" i="1" s="1"/>
  <c r="I494" i="1" s="1"/>
  <c r="I493" i="1" s="1"/>
  <c r="I492" i="1" s="1"/>
  <c r="I491" i="1" s="1"/>
  <c r="I490" i="1" s="1"/>
  <c r="I489" i="1" s="1"/>
  <c r="I488" i="1" s="1"/>
  <c r="I487" i="1" s="1"/>
  <c r="I486" i="1" s="1"/>
  <c r="I485" i="1" s="1"/>
  <c r="I484" i="1" s="1"/>
  <c r="I483" i="1" s="1"/>
  <c r="I482" i="1" s="1"/>
  <c r="I481" i="1" s="1"/>
  <c r="I480" i="1" s="1"/>
  <c r="I479" i="1" s="1"/>
  <c r="I478" i="1" s="1"/>
  <c r="I477" i="1" s="1"/>
  <c r="I476" i="1" s="1"/>
  <c r="I475" i="1" s="1"/>
  <c r="I474" i="1" s="1"/>
  <c r="I473" i="1" s="1"/>
  <c r="I472" i="1" s="1"/>
  <c r="I471" i="1" s="1"/>
  <c r="I470" i="1" s="1"/>
  <c r="I469" i="1" s="1"/>
  <c r="I468" i="1" s="1"/>
  <c r="I467" i="1" s="1"/>
  <c r="I466" i="1" s="1"/>
  <c r="I465" i="1" s="1"/>
  <c r="I464" i="1" s="1"/>
  <c r="I463" i="1" s="1"/>
  <c r="I462" i="1" s="1"/>
  <c r="I461" i="1" s="1"/>
  <c r="I460" i="1" s="1"/>
  <c r="I459" i="1" s="1"/>
  <c r="I458" i="1" s="1"/>
  <c r="I457" i="1" s="1"/>
  <c r="I456" i="1" s="1"/>
  <c r="I455" i="1" s="1"/>
  <c r="I454" i="1" s="1"/>
  <c r="I453" i="1" s="1"/>
  <c r="I452" i="1" s="1"/>
  <c r="I451" i="1" s="1"/>
  <c r="I450" i="1" s="1"/>
  <c r="I449" i="1" s="1"/>
  <c r="I448" i="1" s="1"/>
  <c r="I447" i="1" s="1"/>
  <c r="I446" i="1" s="1"/>
  <c r="I445" i="1" s="1"/>
  <c r="I444" i="1" s="1"/>
  <c r="I443" i="1" s="1"/>
  <c r="I442" i="1" s="1"/>
  <c r="I441" i="1" s="1"/>
  <c r="I440" i="1" s="1"/>
  <c r="I439" i="1" s="1"/>
  <c r="I438" i="1" s="1"/>
  <c r="I437" i="1" s="1"/>
  <c r="I436" i="1" s="1"/>
  <c r="I435" i="1" s="1"/>
  <c r="I434" i="1" s="1"/>
  <c r="I433" i="1" s="1"/>
  <c r="I432" i="1" s="1"/>
  <c r="I431" i="1" s="1"/>
  <c r="I430" i="1" s="1"/>
  <c r="I429" i="1" s="1"/>
  <c r="I428" i="1" s="1"/>
  <c r="I427" i="1" s="1"/>
  <c r="I426" i="1" s="1"/>
  <c r="I425" i="1" s="1"/>
  <c r="I424" i="1" s="1"/>
  <c r="I423" i="1" s="1"/>
  <c r="I422" i="1" s="1"/>
  <c r="I421" i="1" s="1"/>
  <c r="I420" i="1" s="1"/>
  <c r="I419" i="1" s="1"/>
  <c r="I418" i="1" s="1"/>
  <c r="I417" i="1" s="1"/>
  <c r="I416" i="1" s="1"/>
  <c r="I415" i="1" s="1"/>
  <c r="I414" i="1" s="1"/>
  <c r="I413" i="1" s="1"/>
  <c r="I412" i="1" s="1"/>
  <c r="I411" i="1" s="1"/>
  <c r="I410" i="1" s="1"/>
  <c r="I409" i="1" s="1"/>
  <c r="I408" i="1" s="1"/>
  <c r="I407" i="1" s="1"/>
  <c r="I406" i="1" s="1"/>
  <c r="I405" i="1" s="1"/>
  <c r="I404" i="1" s="1"/>
  <c r="I403" i="1" s="1"/>
  <c r="I402" i="1" s="1"/>
  <c r="I401" i="1" s="1"/>
  <c r="I400" i="1" s="1"/>
  <c r="I399" i="1" s="1"/>
  <c r="I398" i="1" s="1"/>
  <c r="I397" i="1" s="1"/>
  <c r="I396" i="1" s="1"/>
  <c r="I395" i="1" s="1"/>
  <c r="I394" i="1" s="1"/>
  <c r="I393" i="1" s="1"/>
  <c r="I392" i="1" s="1"/>
  <c r="I391" i="1" s="1"/>
  <c r="I390" i="1" s="1"/>
  <c r="I389" i="1" s="1"/>
  <c r="I388" i="1" s="1"/>
  <c r="I387" i="1" s="1"/>
  <c r="I386" i="1" s="1"/>
  <c r="I385" i="1" s="1"/>
  <c r="I384" i="1" s="1"/>
  <c r="I383" i="1" s="1"/>
  <c r="I382" i="1" s="1"/>
  <c r="I381" i="1" s="1"/>
  <c r="I380" i="1" s="1"/>
  <c r="I379" i="1" s="1"/>
  <c r="I378" i="1" s="1"/>
  <c r="I377" i="1" s="1"/>
  <c r="I376" i="1" s="1"/>
  <c r="I375" i="1" s="1"/>
  <c r="I374" i="1" s="1"/>
  <c r="I373" i="1" s="1"/>
  <c r="I372" i="1" s="1"/>
  <c r="I371" i="1" s="1"/>
  <c r="I370" i="1" s="1"/>
  <c r="I369" i="1" s="1"/>
  <c r="I368" i="1" s="1"/>
  <c r="I367" i="1" s="1"/>
  <c r="I366" i="1" s="1"/>
  <c r="I365" i="1" s="1"/>
  <c r="I364" i="1" s="1"/>
  <c r="I363" i="1" s="1"/>
  <c r="I362" i="1" s="1"/>
  <c r="I361" i="1" s="1"/>
  <c r="I360" i="1" s="1"/>
  <c r="I359" i="1" s="1"/>
  <c r="I358" i="1" s="1"/>
  <c r="I357" i="1" s="1"/>
  <c r="I356" i="1" s="1"/>
  <c r="I355" i="1" s="1"/>
  <c r="I354" i="1" s="1"/>
  <c r="I353" i="1" s="1"/>
  <c r="I352" i="1" s="1"/>
  <c r="I351" i="1" s="1"/>
  <c r="I350" i="1" s="1"/>
  <c r="I349" i="1" s="1"/>
  <c r="I348" i="1" s="1"/>
  <c r="I347" i="1" s="1"/>
  <c r="I346" i="1" s="1"/>
  <c r="I345" i="1" s="1"/>
  <c r="I344" i="1" s="1"/>
  <c r="I343" i="1" s="1"/>
  <c r="I342" i="1" s="1"/>
  <c r="I341" i="1" s="1"/>
  <c r="I340" i="1" s="1"/>
  <c r="I339" i="1" s="1"/>
  <c r="I338" i="1" s="1"/>
  <c r="I337" i="1" s="1"/>
  <c r="I646" i="1"/>
  <c r="I645" i="1" s="1"/>
  <c r="I644" i="1" s="1"/>
  <c r="I643" i="1" s="1"/>
  <c r="I642" i="1" s="1"/>
  <c r="I942" i="1"/>
  <c r="I941" i="1" s="1"/>
  <c r="I940" i="1" s="1"/>
  <c r="I939" i="1" s="1"/>
  <c r="I938" i="1" s="1"/>
  <c r="I937" i="1" s="1"/>
  <c r="I936" i="1" s="1"/>
  <c r="I935" i="1" s="1"/>
  <c r="I934" i="1" s="1"/>
  <c r="I933" i="1" s="1"/>
  <c r="I932" i="1" s="1"/>
  <c r="I931" i="1" s="1"/>
  <c r="I930" i="1" s="1"/>
  <c r="I929" i="1" s="1"/>
  <c r="I928" i="1" s="1"/>
  <c r="I927" i="1" s="1"/>
  <c r="I926" i="1" s="1"/>
  <c r="I925" i="1" s="1"/>
  <c r="I924" i="1" s="1"/>
  <c r="I923" i="1" s="1"/>
  <c r="I922" i="1" s="1"/>
  <c r="I921" i="1" s="1"/>
  <c r="I920" i="1" s="1"/>
  <c r="I919" i="1" s="1"/>
  <c r="I918" i="1" s="1"/>
  <c r="I917" i="1" s="1"/>
  <c r="I916" i="1" s="1"/>
  <c r="I915" i="1" s="1"/>
  <c r="I914" i="1" s="1"/>
  <c r="I913" i="1" s="1"/>
  <c r="I912" i="1" s="1"/>
  <c r="I911" i="1" s="1"/>
  <c r="I910" i="1" s="1"/>
  <c r="I909" i="1" s="1"/>
  <c r="I908" i="1" s="1"/>
  <c r="I907" i="1" s="1"/>
  <c r="I906" i="1" s="1"/>
  <c r="I905" i="1" s="1"/>
  <c r="I904" i="1" s="1"/>
  <c r="I903" i="1" s="1"/>
  <c r="I902" i="1" s="1"/>
  <c r="I901" i="1" s="1"/>
  <c r="I900" i="1" s="1"/>
  <c r="I899" i="1" s="1"/>
  <c r="I898" i="1" s="1"/>
  <c r="I897" i="1" s="1"/>
  <c r="I896" i="1" s="1"/>
  <c r="I895" i="1" s="1"/>
  <c r="I894" i="1" s="1"/>
  <c r="I893" i="1" s="1"/>
  <c r="I892" i="1" s="1"/>
  <c r="I891" i="1" s="1"/>
  <c r="I890" i="1" s="1"/>
  <c r="I889" i="1" s="1"/>
  <c r="I888" i="1" s="1"/>
  <c r="I887" i="1" s="1"/>
  <c r="I886" i="1" s="1"/>
  <c r="I885" i="1" s="1"/>
  <c r="I884" i="1" s="1"/>
  <c r="I883" i="1" s="1"/>
  <c r="I882" i="1" s="1"/>
  <c r="I881" i="1" s="1"/>
  <c r="I880" i="1" s="1"/>
  <c r="I879" i="1" s="1"/>
  <c r="I878" i="1" s="1"/>
  <c r="I877" i="1" s="1"/>
  <c r="I876" i="1" s="1"/>
  <c r="I875" i="1" s="1"/>
  <c r="I874" i="1" s="1"/>
  <c r="I873" i="1" s="1"/>
  <c r="I872" i="1" s="1"/>
  <c r="I871" i="1" s="1"/>
  <c r="I870" i="1" s="1"/>
  <c r="I869" i="1" s="1"/>
  <c r="I868" i="1" s="1"/>
  <c r="I867" i="1" s="1"/>
  <c r="I866" i="1" s="1"/>
  <c r="I865" i="1" s="1"/>
  <c r="I864" i="1" s="1"/>
  <c r="I863" i="1" s="1"/>
  <c r="I862" i="1" s="1"/>
  <c r="I861" i="1" s="1"/>
  <c r="I860" i="1" s="1"/>
  <c r="I859" i="1" s="1"/>
  <c r="I858" i="1" s="1"/>
  <c r="I857" i="1" s="1"/>
  <c r="I856" i="1" s="1"/>
  <c r="I855" i="1" s="1"/>
  <c r="I854" i="1" s="1"/>
  <c r="I853" i="1" s="1"/>
  <c r="I852" i="1" s="1"/>
  <c r="I851" i="1" s="1"/>
  <c r="I850" i="1" s="1"/>
  <c r="I849" i="1" s="1"/>
  <c r="I848" i="1" s="1"/>
  <c r="I847" i="1" s="1"/>
  <c r="I846" i="1" s="1"/>
  <c r="I845" i="1" s="1"/>
  <c r="I844" i="1" s="1"/>
  <c r="I843" i="1" s="1"/>
  <c r="I842" i="1" s="1"/>
  <c r="I841" i="1" s="1"/>
  <c r="I840" i="1" s="1"/>
  <c r="I839" i="1" s="1"/>
  <c r="I838" i="1" s="1"/>
  <c r="I837" i="1" s="1"/>
  <c r="I836" i="1" s="1"/>
  <c r="I835" i="1" s="1"/>
  <c r="I834" i="1" s="1"/>
  <c r="I833" i="1" s="1"/>
  <c r="I832" i="1" s="1"/>
  <c r="I831" i="1" s="1"/>
  <c r="I830" i="1" s="1"/>
  <c r="I829" i="1" s="1"/>
  <c r="I828" i="1" s="1"/>
  <c r="I827" i="1" s="1"/>
  <c r="I826" i="1" s="1"/>
  <c r="I825" i="1" s="1"/>
  <c r="I824" i="1" s="1"/>
  <c r="I823" i="1" s="1"/>
  <c r="I822" i="1" s="1"/>
  <c r="I821" i="1" s="1"/>
  <c r="I820" i="1" s="1"/>
  <c r="I819" i="1" s="1"/>
  <c r="I818" i="1" s="1"/>
  <c r="I817" i="1" s="1"/>
  <c r="I816" i="1" s="1"/>
  <c r="I815" i="1" s="1"/>
  <c r="I814" i="1" s="1"/>
  <c r="I813" i="1" s="1"/>
  <c r="I812" i="1" s="1"/>
  <c r="I811" i="1" s="1"/>
  <c r="I810" i="1" s="1"/>
  <c r="I809" i="1" s="1"/>
  <c r="I808" i="1" s="1"/>
  <c r="I807" i="1" s="1"/>
  <c r="I806" i="1" s="1"/>
  <c r="I805" i="1" s="1"/>
  <c r="I804" i="1" s="1"/>
  <c r="I803" i="1" s="1"/>
  <c r="I802" i="1" s="1"/>
  <c r="I801" i="1" s="1"/>
  <c r="I800" i="1" s="1"/>
  <c r="I799" i="1" s="1"/>
  <c r="I798" i="1" s="1"/>
  <c r="I797" i="1" s="1"/>
  <c r="I796" i="1" s="1"/>
  <c r="I795" i="1" s="1"/>
  <c r="I794" i="1" s="1"/>
  <c r="I793" i="1" s="1"/>
  <c r="I792" i="1" s="1"/>
  <c r="I791" i="1" s="1"/>
  <c r="I790" i="1" s="1"/>
  <c r="I789" i="1" s="1"/>
  <c r="I788" i="1" s="1"/>
  <c r="I787" i="1" s="1"/>
  <c r="I786" i="1" s="1"/>
  <c r="I785" i="1" s="1"/>
  <c r="I784" i="1" s="1"/>
  <c r="I783" i="1" s="1"/>
  <c r="I782" i="1" s="1"/>
  <c r="I781" i="1" s="1"/>
  <c r="I780" i="1" s="1"/>
  <c r="I779" i="1" s="1"/>
  <c r="I778" i="1" s="1"/>
  <c r="I777" i="1" s="1"/>
  <c r="I776" i="1" s="1"/>
  <c r="I775" i="1" s="1"/>
  <c r="I774" i="1" s="1"/>
  <c r="I773" i="1" s="1"/>
  <c r="I772" i="1" s="1"/>
  <c r="I771" i="1" s="1"/>
  <c r="I770" i="1" s="1"/>
  <c r="I769" i="1" s="1"/>
  <c r="I768" i="1" s="1"/>
  <c r="I767" i="1" s="1"/>
  <c r="I766" i="1" s="1"/>
  <c r="I765" i="1" s="1"/>
  <c r="I764" i="1" s="1"/>
  <c r="I763" i="1" s="1"/>
  <c r="I762" i="1" s="1"/>
  <c r="I761" i="1" s="1"/>
  <c r="I760" i="1" s="1"/>
  <c r="I759" i="1" s="1"/>
  <c r="I758" i="1" s="1"/>
  <c r="I757" i="1" s="1"/>
  <c r="I756" i="1" s="1"/>
  <c r="I755" i="1" s="1"/>
  <c r="I754" i="1" s="1"/>
  <c r="I753" i="1" s="1"/>
  <c r="I752" i="1" s="1"/>
  <c r="I751" i="1" s="1"/>
  <c r="I750" i="1" s="1"/>
  <c r="I749" i="1" s="1"/>
  <c r="I748" i="1" s="1"/>
  <c r="I747" i="1" s="1"/>
  <c r="I746" i="1" s="1"/>
  <c r="I745" i="1" s="1"/>
  <c r="I744" i="1" s="1"/>
  <c r="I743" i="1" s="1"/>
  <c r="I742" i="1" s="1"/>
  <c r="I741" i="1" s="1"/>
  <c r="I740" i="1" s="1"/>
  <c r="I739" i="1" s="1"/>
  <c r="I738" i="1" s="1"/>
  <c r="I737" i="1" s="1"/>
  <c r="I736" i="1" s="1"/>
  <c r="I735" i="1" s="1"/>
  <c r="I734" i="1" s="1"/>
  <c r="I733" i="1" s="1"/>
  <c r="I732" i="1" s="1"/>
  <c r="I731" i="1" s="1"/>
  <c r="I730" i="1" s="1"/>
  <c r="I729" i="1" s="1"/>
  <c r="I728" i="1" s="1"/>
  <c r="I727" i="1" s="1"/>
  <c r="I726" i="1" s="1"/>
  <c r="I725" i="1" s="1"/>
  <c r="I724" i="1" s="1"/>
  <c r="I723" i="1" s="1"/>
  <c r="I722" i="1" s="1"/>
  <c r="I721" i="1" s="1"/>
  <c r="I720" i="1" s="1"/>
  <c r="I719" i="1" s="1"/>
  <c r="I718" i="1" s="1"/>
  <c r="I717" i="1" s="1"/>
  <c r="I716" i="1" s="1"/>
  <c r="I715" i="1" s="1"/>
  <c r="I714" i="1" s="1"/>
  <c r="I713" i="1" s="1"/>
  <c r="I712" i="1" s="1"/>
  <c r="I711" i="1" s="1"/>
  <c r="I710" i="1" s="1"/>
  <c r="I709" i="1" s="1"/>
  <c r="I708" i="1" s="1"/>
  <c r="I707" i="1" s="1"/>
  <c r="I706" i="1" s="1"/>
  <c r="I705" i="1" s="1"/>
  <c r="I704" i="1" s="1"/>
  <c r="I703" i="1" s="1"/>
  <c r="I702" i="1" s="1"/>
  <c r="I701" i="1" s="1"/>
  <c r="I700" i="1" s="1"/>
  <c r="I699" i="1" s="1"/>
  <c r="I698" i="1" s="1"/>
  <c r="I697" i="1" s="1"/>
  <c r="I696" i="1" s="1"/>
  <c r="I695" i="1" s="1"/>
  <c r="I694" i="1" s="1"/>
  <c r="I693" i="1" s="1"/>
  <c r="I692" i="1" s="1"/>
  <c r="I691" i="1" s="1"/>
  <c r="I690" i="1" s="1"/>
  <c r="I689" i="1" s="1"/>
  <c r="I688" i="1" s="1"/>
  <c r="I687" i="1" s="1"/>
  <c r="I686" i="1" s="1"/>
  <c r="I685" i="1" s="1"/>
  <c r="I684" i="1" s="1"/>
  <c r="I683" i="1" s="1"/>
  <c r="I682" i="1" s="1"/>
  <c r="I681" i="1" s="1"/>
  <c r="I680" i="1" s="1"/>
  <c r="I679" i="1" s="1"/>
  <c r="I678" i="1" s="1"/>
  <c r="I677" i="1" s="1"/>
  <c r="I676" i="1" s="1"/>
  <c r="I675" i="1" s="1"/>
  <c r="I674" i="1" s="1"/>
  <c r="I673" i="1" s="1"/>
  <c r="I672" i="1" s="1"/>
  <c r="I671" i="1" s="1"/>
  <c r="I670" i="1" s="1"/>
  <c r="I669" i="1" s="1"/>
  <c r="I668" i="1" s="1"/>
  <c r="I667" i="1" s="1"/>
  <c r="I666" i="1" s="1"/>
  <c r="I665" i="1" s="1"/>
  <c r="I664" i="1" s="1"/>
  <c r="I663" i="1" s="1"/>
  <c r="I662" i="1" s="1"/>
  <c r="I661" i="1" s="1"/>
  <c r="I660" i="1" s="1"/>
  <c r="I659" i="1" s="1"/>
  <c r="I658" i="1" s="1"/>
  <c r="I657" i="1" s="1"/>
  <c r="I656" i="1" s="1"/>
  <c r="I655" i="1" s="1"/>
  <c r="I654" i="1" s="1"/>
  <c r="I653" i="1" s="1"/>
  <c r="I652" i="1" s="1"/>
  <c r="I651" i="1" s="1"/>
  <c r="I650" i="1" s="1"/>
  <c r="I649" i="1" s="1"/>
  <c r="I945" i="1"/>
  <c r="I944" i="1" s="1"/>
  <c r="I943" i="1" s="1"/>
  <c r="I1195" i="1"/>
  <c r="I1194" i="1"/>
  <c r="I1193" i="1" s="1"/>
  <c r="I1192" i="1" s="1"/>
  <c r="I1191" i="1" s="1"/>
  <c r="I1190" i="1" s="1"/>
  <c r="I1189" i="1" s="1"/>
  <c r="I1188" i="1" s="1"/>
  <c r="I1187" i="1" s="1"/>
  <c r="I1186" i="1" s="1"/>
  <c r="I1185" i="1" s="1"/>
  <c r="I1184" i="1" s="1"/>
  <c r="I1183" i="1" s="1"/>
  <c r="I1182" i="1" s="1"/>
  <c r="I1181" i="1" s="1"/>
  <c r="I1180" i="1" s="1"/>
  <c r="I1179" i="1" s="1"/>
  <c r="I1178" i="1" s="1"/>
  <c r="I1177" i="1" s="1"/>
  <c r="I1176" i="1" s="1"/>
  <c r="I1175" i="1" s="1"/>
  <c r="I1174" i="1" s="1"/>
  <c r="I1173" i="1" s="1"/>
  <c r="I1172" i="1" s="1"/>
  <c r="I1171" i="1" s="1"/>
  <c r="I1170" i="1" s="1"/>
  <c r="I1169" i="1" s="1"/>
  <c r="I1168" i="1" s="1"/>
  <c r="I1167" i="1" s="1"/>
  <c r="I1166" i="1" s="1"/>
  <c r="I1165" i="1" s="1"/>
  <c r="I1164" i="1" s="1"/>
  <c r="I1163" i="1" s="1"/>
  <c r="I1162" i="1" s="1"/>
  <c r="I1161" i="1" s="1"/>
  <c r="I1160" i="1" s="1"/>
  <c r="I1159" i="1" s="1"/>
  <c r="I1158" i="1" s="1"/>
  <c r="I1157" i="1" s="1"/>
  <c r="I1156" i="1" s="1"/>
  <c r="I1155" i="1" s="1"/>
  <c r="I1154" i="1" s="1"/>
  <c r="I1153" i="1" s="1"/>
  <c r="I1152" i="1" s="1"/>
  <c r="I1151" i="1" s="1"/>
  <c r="I1150" i="1" s="1"/>
  <c r="I1149" i="1" s="1"/>
  <c r="I1148" i="1" s="1"/>
  <c r="I1147" i="1" s="1"/>
  <c r="I1146" i="1" s="1"/>
  <c r="I1145" i="1" s="1"/>
  <c r="I1144" i="1" s="1"/>
  <c r="I1143" i="1" s="1"/>
  <c r="I1142" i="1" s="1"/>
  <c r="I1141" i="1" s="1"/>
  <c r="I1140" i="1" s="1"/>
  <c r="I1139" i="1" s="1"/>
  <c r="I1138" i="1" s="1"/>
  <c r="I1137" i="1" s="1"/>
  <c r="I1136" i="1" s="1"/>
  <c r="I1135" i="1" s="1"/>
  <c r="I1134" i="1" s="1"/>
  <c r="I1133" i="1" s="1"/>
  <c r="I1132" i="1" s="1"/>
  <c r="I1131" i="1" s="1"/>
  <c r="I1130" i="1" s="1"/>
  <c r="I1129" i="1" s="1"/>
  <c r="I1128" i="1" s="1"/>
  <c r="I1127" i="1" s="1"/>
  <c r="I1126" i="1" s="1"/>
  <c r="I1125" i="1" s="1"/>
  <c r="I1124" i="1" s="1"/>
  <c r="I1123" i="1" s="1"/>
  <c r="I1122" i="1" s="1"/>
  <c r="I1121" i="1" s="1"/>
  <c r="I1120" i="1" s="1"/>
  <c r="I1119" i="1" s="1"/>
  <c r="I1118" i="1" s="1"/>
  <c r="I1117" i="1" s="1"/>
  <c r="I1116" i="1" s="1"/>
  <c r="I1115" i="1" s="1"/>
  <c r="I1114" i="1" s="1"/>
  <c r="I1113" i="1" s="1"/>
  <c r="I1112" i="1" s="1"/>
  <c r="I1111" i="1" s="1"/>
  <c r="I1110" i="1" s="1"/>
  <c r="I1109" i="1" s="1"/>
  <c r="I1108" i="1" s="1"/>
  <c r="I1107" i="1" s="1"/>
  <c r="I1106" i="1" s="1"/>
  <c r="I1105" i="1" s="1"/>
  <c r="I1104" i="1" s="1"/>
  <c r="I1103" i="1" s="1"/>
  <c r="I1102" i="1" s="1"/>
  <c r="I1101" i="1" s="1"/>
  <c r="I1100" i="1" s="1"/>
  <c r="I1099" i="1" s="1"/>
  <c r="I1098" i="1" s="1"/>
  <c r="I1097" i="1" s="1"/>
  <c r="I1096" i="1" s="1"/>
  <c r="I1095" i="1" s="1"/>
  <c r="I1094" i="1" s="1"/>
  <c r="I1093" i="1" s="1"/>
  <c r="I1092" i="1" s="1"/>
  <c r="I1091" i="1" s="1"/>
  <c r="I1090" i="1" s="1"/>
  <c r="I1089" i="1" s="1"/>
  <c r="I1088" i="1" s="1"/>
  <c r="I1087" i="1" s="1"/>
  <c r="I1086" i="1" s="1"/>
  <c r="I1085" i="1" s="1"/>
  <c r="I1084" i="1" s="1"/>
  <c r="I1083" i="1" s="1"/>
  <c r="I1082" i="1" s="1"/>
  <c r="I1081" i="1" s="1"/>
  <c r="I1080" i="1" s="1"/>
  <c r="I1079" i="1" s="1"/>
  <c r="I1078" i="1" s="1"/>
  <c r="I1077" i="1" s="1"/>
  <c r="I1076" i="1" s="1"/>
  <c r="I1075" i="1" s="1"/>
  <c r="I1074" i="1" s="1"/>
  <c r="I1073" i="1" s="1"/>
  <c r="I1072" i="1" s="1"/>
  <c r="I1071" i="1" s="1"/>
  <c r="I1070" i="1" s="1"/>
  <c r="I1069" i="1" s="1"/>
  <c r="I1068" i="1" s="1"/>
  <c r="I1067" i="1" s="1"/>
  <c r="I1066" i="1" s="1"/>
  <c r="I1065" i="1" s="1"/>
  <c r="I1064" i="1" s="1"/>
  <c r="I1063" i="1" s="1"/>
  <c r="I1062" i="1" s="1"/>
  <c r="I1061" i="1" s="1"/>
  <c r="I1060" i="1" s="1"/>
  <c r="I1059" i="1" s="1"/>
  <c r="I1058" i="1" s="1"/>
  <c r="I1057" i="1" s="1"/>
  <c r="I1056" i="1" s="1"/>
  <c r="I1055" i="1" s="1"/>
  <c r="I1054" i="1" s="1"/>
  <c r="I1053" i="1" s="1"/>
  <c r="I1052" i="1" s="1"/>
  <c r="I1051" i="1" s="1"/>
  <c r="I1050" i="1" s="1"/>
  <c r="I1049" i="1" s="1"/>
  <c r="I1048" i="1" s="1"/>
  <c r="I1047" i="1" s="1"/>
  <c r="I1046" i="1" s="1"/>
  <c r="I1045" i="1" s="1"/>
  <c r="I1044" i="1" s="1"/>
  <c r="I1043" i="1" s="1"/>
  <c r="I1042" i="1" s="1"/>
  <c r="I1041" i="1" s="1"/>
  <c r="I1040" i="1" s="1"/>
  <c r="I1039" i="1" s="1"/>
  <c r="I1038" i="1" s="1"/>
  <c r="I1037" i="1" s="1"/>
  <c r="I1036" i="1" s="1"/>
  <c r="I1035" i="1" s="1"/>
  <c r="I1034" i="1" s="1"/>
  <c r="I1033" i="1" s="1"/>
  <c r="I1032" i="1" s="1"/>
  <c r="I1031" i="1" s="1"/>
  <c r="I1030" i="1" s="1"/>
  <c r="I1029" i="1" s="1"/>
  <c r="I1028" i="1" s="1"/>
  <c r="I1027" i="1" s="1"/>
  <c r="I1026" i="1" s="1"/>
  <c r="I1025" i="1" s="1"/>
  <c r="I1024" i="1" s="1"/>
  <c r="I1023" i="1" s="1"/>
  <c r="I1022" i="1" s="1"/>
  <c r="I1021" i="1" s="1"/>
  <c r="I1020" i="1" s="1"/>
  <c r="I1019" i="1" s="1"/>
  <c r="I1018" i="1" s="1"/>
  <c r="I1017" i="1" s="1"/>
  <c r="I1016" i="1" s="1"/>
  <c r="I1015" i="1" s="1"/>
  <c r="I1014" i="1" s="1"/>
  <c r="I1013" i="1" s="1"/>
  <c r="I1012" i="1" s="1"/>
  <c r="I1011" i="1" s="1"/>
  <c r="I1010" i="1" s="1"/>
  <c r="I1009" i="1" s="1"/>
  <c r="I1008" i="1" s="1"/>
  <c r="I1007" i="1" s="1"/>
  <c r="I1006" i="1" s="1"/>
  <c r="I1005" i="1" s="1"/>
  <c r="I1004" i="1" s="1"/>
  <c r="I1003" i="1" s="1"/>
  <c r="I1002" i="1" s="1"/>
  <c r="I1001" i="1" s="1"/>
  <c r="I1000" i="1" s="1"/>
  <c r="I999" i="1" s="1"/>
  <c r="I998" i="1" s="1"/>
  <c r="I997" i="1" s="1"/>
  <c r="I996" i="1" s="1"/>
  <c r="I995" i="1" s="1"/>
  <c r="I994" i="1" s="1"/>
  <c r="I993" i="1" s="1"/>
  <c r="I992" i="1" s="1"/>
  <c r="I991" i="1" s="1"/>
  <c r="I990" i="1" s="1"/>
  <c r="I989" i="1" s="1"/>
  <c r="I988" i="1" s="1"/>
  <c r="I987" i="1" s="1"/>
  <c r="I986" i="1" s="1"/>
  <c r="I985" i="1" s="1"/>
  <c r="I984" i="1" s="1"/>
  <c r="I983" i="1" s="1"/>
  <c r="I982" i="1" s="1"/>
  <c r="I981" i="1" s="1"/>
  <c r="I980" i="1" s="1"/>
  <c r="I979" i="1" s="1"/>
  <c r="I978" i="1" s="1"/>
  <c r="I977" i="1" s="1"/>
  <c r="I976" i="1" s="1"/>
  <c r="I975" i="1" s="1"/>
  <c r="I974" i="1" s="1"/>
  <c r="I973" i="1" s="1"/>
  <c r="I972" i="1" s="1"/>
  <c r="I971" i="1" s="1"/>
  <c r="I970" i="1" s="1"/>
  <c r="I969" i="1" s="1"/>
  <c r="I968" i="1" s="1"/>
  <c r="I967" i="1" s="1"/>
  <c r="I966" i="1" s="1"/>
  <c r="I965" i="1" s="1"/>
  <c r="I964" i="1" s="1"/>
  <c r="I963" i="1" s="1"/>
  <c r="I962" i="1" s="1"/>
  <c r="I961" i="1" s="1"/>
  <c r="I960" i="1" s="1"/>
  <c r="I959" i="1" s="1"/>
  <c r="I958" i="1" s="1"/>
  <c r="I957" i="1" s="1"/>
  <c r="I956" i="1" s="1"/>
  <c r="I955" i="1" s="1"/>
  <c r="I954" i="1" s="1"/>
  <c r="I953" i="1" s="1"/>
  <c r="I952" i="1" s="1"/>
  <c r="I951" i="1" s="1"/>
  <c r="I950" i="1" s="1"/>
  <c r="I949" i="1" s="1"/>
  <c r="I948" i="1" s="1"/>
  <c r="I1199" i="1"/>
  <c r="I1198" i="1" s="1"/>
  <c r="I1197" i="1" s="1"/>
  <c r="I1196" i="1" s="1"/>
  <c r="I1436" i="1"/>
  <c r="I1435" i="1"/>
  <c r="I1434" i="1"/>
  <c r="I1433" i="1"/>
  <c r="I1432" i="1" s="1"/>
  <c r="I1431" i="1" s="1"/>
  <c r="I1430" i="1" s="1"/>
  <c r="I1429" i="1" s="1"/>
  <c r="I1428" i="1" s="1"/>
  <c r="I1427" i="1" s="1"/>
  <c r="I1426" i="1" s="1"/>
  <c r="I1425" i="1" s="1"/>
  <c r="I1424" i="1" s="1"/>
  <c r="I1423" i="1" s="1"/>
  <c r="I1422" i="1" s="1"/>
  <c r="I1421" i="1" s="1"/>
  <c r="I1420" i="1" s="1"/>
  <c r="I1419" i="1" s="1"/>
  <c r="I1418" i="1" s="1"/>
  <c r="I1417" i="1" s="1"/>
  <c r="I1416" i="1" s="1"/>
  <c r="I1415" i="1" s="1"/>
  <c r="I1414" i="1" s="1"/>
  <c r="I1413" i="1" s="1"/>
  <c r="I1412" i="1" s="1"/>
  <c r="I1411" i="1" s="1"/>
  <c r="I1410" i="1" s="1"/>
  <c r="I1409" i="1" s="1"/>
  <c r="I1408" i="1" s="1"/>
  <c r="I1407" i="1" s="1"/>
  <c r="I1406" i="1" s="1"/>
  <c r="I1405" i="1" s="1"/>
  <c r="I1404" i="1" s="1"/>
  <c r="I1403" i="1" s="1"/>
  <c r="I1402" i="1" s="1"/>
  <c r="I1401" i="1" s="1"/>
  <c r="I1400" i="1" s="1"/>
  <c r="I1399" i="1" s="1"/>
  <c r="I1398" i="1" s="1"/>
  <c r="I1397" i="1" s="1"/>
  <c r="I1396" i="1" s="1"/>
  <c r="I1395" i="1" s="1"/>
  <c r="I1394" i="1" s="1"/>
  <c r="I1393" i="1" s="1"/>
  <c r="I1392" i="1" s="1"/>
  <c r="I1391" i="1" s="1"/>
  <c r="I1390" i="1" s="1"/>
  <c r="I1389" i="1" s="1"/>
  <c r="I1388" i="1" s="1"/>
  <c r="I1387" i="1" s="1"/>
  <c r="I1386" i="1" s="1"/>
  <c r="I1385" i="1" s="1"/>
  <c r="I1384" i="1" s="1"/>
  <c r="I1383" i="1" s="1"/>
  <c r="I1382" i="1" s="1"/>
  <c r="I1381" i="1" s="1"/>
  <c r="I1380" i="1" s="1"/>
  <c r="I1379" i="1" s="1"/>
  <c r="I1378" i="1" s="1"/>
  <c r="I1377" i="1" s="1"/>
  <c r="I1376" i="1" s="1"/>
  <c r="I1375" i="1" s="1"/>
  <c r="I1374" i="1" s="1"/>
  <c r="I1373" i="1" s="1"/>
  <c r="I1372" i="1" s="1"/>
  <c r="I1371" i="1" s="1"/>
  <c r="I1370" i="1" s="1"/>
  <c r="I1369" i="1" s="1"/>
  <c r="I1368" i="1" s="1"/>
  <c r="I1367" i="1" s="1"/>
  <c r="I1366" i="1" s="1"/>
  <c r="I1365" i="1" s="1"/>
  <c r="I1364" i="1" s="1"/>
  <c r="I1363" i="1" s="1"/>
  <c r="I1362" i="1" s="1"/>
  <c r="I1361" i="1" s="1"/>
  <c r="I1360" i="1" s="1"/>
  <c r="I1359" i="1" s="1"/>
  <c r="I1358" i="1" s="1"/>
  <c r="I1357" i="1" s="1"/>
  <c r="I1356" i="1" s="1"/>
  <c r="I1355" i="1" s="1"/>
  <c r="I1354" i="1" s="1"/>
  <c r="I1353" i="1" s="1"/>
  <c r="I1352" i="1" s="1"/>
  <c r="I1351" i="1" s="1"/>
  <c r="I1350" i="1" s="1"/>
  <c r="I1349" i="1" s="1"/>
  <c r="I1348" i="1" s="1"/>
  <c r="I1347" i="1" s="1"/>
  <c r="I1346" i="1" s="1"/>
  <c r="I1345" i="1" s="1"/>
  <c r="I1344" i="1" s="1"/>
  <c r="I1343" i="1" s="1"/>
  <c r="I1342" i="1" s="1"/>
  <c r="I1341" i="1" s="1"/>
  <c r="I1340" i="1" s="1"/>
  <c r="I1339" i="1" s="1"/>
  <c r="I1338" i="1" s="1"/>
  <c r="I1337" i="1" s="1"/>
  <c r="I1336" i="1" s="1"/>
  <c r="I1335" i="1" s="1"/>
  <c r="I1334" i="1" s="1"/>
  <c r="I1333" i="1" s="1"/>
  <c r="I1332" i="1" s="1"/>
  <c r="I1331" i="1" s="1"/>
  <c r="I1330" i="1" s="1"/>
  <c r="I1329" i="1" s="1"/>
  <c r="I1328" i="1" s="1"/>
  <c r="I1327" i="1" s="1"/>
  <c r="I1326" i="1" s="1"/>
  <c r="I1325" i="1" s="1"/>
  <c r="I1324" i="1" s="1"/>
  <c r="I1323" i="1" s="1"/>
  <c r="I1322" i="1" s="1"/>
  <c r="I1321" i="1" s="1"/>
  <c r="I1320" i="1" s="1"/>
  <c r="I1319" i="1" s="1"/>
  <c r="I1318" i="1" s="1"/>
  <c r="I1317" i="1" s="1"/>
  <c r="I1316" i="1" s="1"/>
  <c r="I1315" i="1" s="1"/>
  <c r="I1314" i="1" s="1"/>
  <c r="I1313" i="1" s="1"/>
  <c r="I1312" i="1" s="1"/>
  <c r="I1311" i="1" s="1"/>
  <c r="I1310" i="1" s="1"/>
  <c r="I1309" i="1" s="1"/>
  <c r="I1308" i="1" s="1"/>
  <c r="I1307" i="1" s="1"/>
  <c r="I1306" i="1" s="1"/>
  <c r="I1305" i="1" s="1"/>
  <c r="I1304" i="1" s="1"/>
  <c r="I1303" i="1" s="1"/>
  <c r="I1302" i="1" s="1"/>
  <c r="I1301" i="1" s="1"/>
  <c r="I1300" i="1" s="1"/>
  <c r="I1299" i="1" s="1"/>
  <c r="I1298" i="1" s="1"/>
  <c r="I1297" i="1" s="1"/>
  <c r="I1296" i="1" s="1"/>
  <c r="I1295" i="1" s="1"/>
  <c r="I1294" i="1" s="1"/>
  <c r="I1293" i="1" s="1"/>
  <c r="I1292" i="1" s="1"/>
  <c r="I1291" i="1" s="1"/>
  <c r="I1290" i="1" s="1"/>
  <c r="I1289" i="1" s="1"/>
  <c r="I1288" i="1" s="1"/>
  <c r="I1287" i="1" s="1"/>
  <c r="I1286" i="1" s="1"/>
  <c r="I1285" i="1" s="1"/>
  <c r="I1284" i="1" s="1"/>
  <c r="I1283" i="1" s="1"/>
  <c r="I1282" i="1" s="1"/>
  <c r="I1281" i="1" s="1"/>
  <c r="I1280" i="1" s="1"/>
  <c r="I1279" i="1" s="1"/>
  <c r="I1278" i="1" s="1"/>
  <c r="I1277" i="1" s="1"/>
  <c r="I1276" i="1" s="1"/>
  <c r="I1275" i="1" s="1"/>
  <c r="I1274" i="1" s="1"/>
  <c r="I1273" i="1" s="1"/>
  <c r="I1272" i="1" s="1"/>
  <c r="I1271" i="1" s="1"/>
  <c r="I1270" i="1" s="1"/>
  <c r="I1269" i="1" s="1"/>
  <c r="I1268" i="1" s="1"/>
  <c r="I1267" i="1" s="1"/>
  <c r="I1266" i="1" s="1"/>
  <c r="I1265" i="1" s="1"/>
  <c r="I1264" i="1" s="1"/>
  <c r="I1263" i="1" s="1"/>
  <c r="I1262" i="1" s="1"/>
  <c r="I1261" i="1" s="1"/>
  <c r="I1260" i="1" s="1"/>
  <c r="I1259" i="1" s="1"/>
  <c r="I1258" i="1" s="1"/>
  <c r="I1257" i="1" s="1"/>
  <c r="I1256" i="1" s="1"/>
  <c r="I1255" i="1" s="1"/>
  <c r="I1254" i="1" s="1"/>
  <c r="I1253" i="1" s="1"/>
  <c r="I1252" i="1" s="1"/>
  <c r="I1251" i="1" s="1"/>
  <c r="I1250" i="1" s="1"/>
  <c r="I1249" i="1" s="1"/>
  <c r="I1248" i="1" s="1"/>
  <c r="I1247" i="1" s="1"/>
  <c r="I1246" i="1" s="1"/>
  <c r="I1245" i="1" s="1"/>
  <c r="I1244" i="1" s="1"/>
  <c r="I1243" i="1" s="1"/>
  <c r="I1242" i="1" s="1"/>
  <c r="I1241" i="1" s="1"/>
  <c r="I1240" i="1" s="1"/>
  <c r="I1239" i="1" s="1"/>
  <c r="I1238" i="1" s="1"/>
  <c r="I1237" i="1" s="1"/>
  <c r="I1236" i="1" s="1"/>
  <c r="I1235" i="1" s="1"/>
  <c r="I1234" i="1" s="1"/>
  <c r="I1233" i="1" s="1"/>
  <c r="I1232" i="1" s="1"/>
  <c r="I1231" i="1" s="1"/>
  <c r="I1230" i="1" s="1"/>
  <c r="I1229" i="1" s="1"/>
  <c r="I1228" i="1" s="1"/>
  <c r="I1227" i="1" s="1"/>
  <c r="I1226" i="1" s="1"/>
  <c r="I1225" i="1" s="1"/>
  <c r="I1224" i="1" s="1"/>
  <c r="I1223" i="1" s="1"/>
  <c r="I1222" i="1" s="1"/>
  <c r="I1221" i="1" s="1"/>
  <c r="I1220" i="1" s="1"/>
  <c r="I1219" i="1" s="1"/>
  <c r="I1218" i="1" s="1"/>
  <c r="I1217" i="1" s="1"/>
  <c r="I1216" i="1" s="1"/>
  <c r="I1215" i="1" s="1"/>
  <c r="I1214" i="1" s="1"/>
  <c r="I1213" i="1" s="1"/>
  <c r="I1212" i="1" s="1"/>
  <c r="I1211" i="1" s="1"/>
  <c r="I1210" i="1" s="1"/>
  <c r="I1209" i="1" s="1"/>
  <c r="I1208" i="1" s="1"/>
  <c r="I1207" i="1" s="1"/>
  <c r="I1206" i="1" s="1"/>
  <c r="I1205" i="1" s="1"/>
  <c r="I1204" i="1" s="1"/>
  <c r="I1203" i="1" s="1"/>
  <c r="I1202" i="1" s="1"/>
  <c r="I1437" i="1"/>
  <c r="I1442" i="1"/>
  <c r="I1441" i="1" s="1"/>
  <c r="I1440" i="1" s="1"/>
  <c r="I1439" i="1" s="1"/>
  <c r="I1438" i="1" s="1"/>
  <c r="I1718" i="1"/>
  <c r="I1717" i="1" s="1"/>
  <c r="I1716" i="1" s="1"/>
  <c r="I1715" i="1" s="1"/>
  <c r="I1714" i="1" s="1"/>
  <c r="I1713" i="1" s="1"/>
  <c r="I1712" i="1" s="1"/>
  <c r="I1711" i="1" s="1"/>
  <c r="I1710" i="1" s="1"/>
  <c r="I1709" i="1" s="1"/>
  <c r="I1708" i="1" s="1"/>
  <c r="I1707" i="1" s="1"/>
  <c r="I1706" i="1" s="1"/>
  <c r="I1705" i="1" s="1"/>
  <c r="I1704" i="1" s="1"/>
  <c r="I1703" i="1" s="1"/>
  <c r="I1702" i="1" s="1"/>
  <c r="I1701" i="1" s="1"/>
  <c r="I1700" i="1" s="1"/>
  <c r="I1699" i="1" s="1"/>
  <c r="I1698" i="1" s="1"/>
  <c r="I1697" i="1" s="1"/>
  <c r="I1696" i="1" s="1"/>
  <c r="I1695" i="1" s="1"/>
  <c r="I1694" i="1" s="1"/>
  <c r="I1693" i="1" s="1"/>
  <c r="I1692" i="1" s="1"/>
  <c r="I1691" i="1" s="1"/>
  <c r="I1690" i="1" s="1"/>
  <c r="I1689" i="1" s="1"/>
  <c r="I1688" i="1" s="1"/>
  <c r="I1687" i="1" s="1"/>
  <c r="I1686" i="1" s="1"/>
  <c r="I1685" i="1" s="1"/>
  <c r="I1684" i="1" s="1"/>
  <c r="I1683" i="1" s="1"/>
  <c r="I1682" i="1" s="1"/>
  <c r="I1681" i="1" s="1"/>
  <c r="I1680" i="1" s="1"/>
  <c r="I1679" i="1" s="1"/>
  <c r="I1678" i="1" s="1"/>
  <c r="I1677" i="1" s="1"/>
  <c r="I1676" i="1" s="1"/>
  <c r="I1675" i="1" s="1"/>
  <c r="I1674" i="1" s="1"/>
  <c r="I1673" i="1" s="1"/>
  <c r="I1672" i="1" s="1"/>
  <c r="I1671" i="1" s="1"/>
  <c r="I1670" i="1" s="1"/>
  <c r="I1669" i="1" s="1"/>
  <c r="I1668" i="1" s="1"/>
  <c r="I1667" i="1" s="1"/>
  <c r="I1666" i="1" s="1"/>
  <c r="I1665" i="1" s="1"/>
  <c r="I1664" i="1" s="1"/>
  <c r="I1663" i="1" s="1"/>
  <c r="I1662" i="1" s="1"/>
  <c r="I1661" i="1" s="1"/>
  <c r="I1660" i="1" s="1"/>
  <c r="I1659" i="1" s="1"/>
  <c r="I1658" i="1" s="1"/>
  <c r="I1657" i="1" s="1"/>
  <c r="I1656" i="1" s="1"/>
  <c r="I1655" i="1" s="1"/>
  <c r="I1654" i="1" s="1"/>
  <c r="I1653" i="1" s="1"/>
  <c r="I1652" i="1" s="1"/>
  <c r="I1651" i="1" s="1"/>
  <c r="I1650" i="1" s="1"/>
  <c r="I1649" i="1" s="1"/>
  <c r="I1648" i="1" s="1"/>
  <c r="I1647" i="1" s="1"/>
  <c r="I1646" i="1" s="1"/>
  <c r="I1645" i="1" s="1"/>
  <c r="I1644" i="1" s="1"/>
  <c r="I1643" i="1" s="1"/>
  <c r="I1642" i="1" s="1"/>
  <c r="I1641" i="1" s="1"/>
  <c r="I1640" i="1" s="1"/>
  <c r="I1639" i="1" s="1"/>
  <c r="I1638" i="1" s="1"/>
  <c r="I1637" i="1" s="1"/>
  <c r="I1636" i="1" s="1"/>
  <c r="I1635" i="1" s="1"/>
  <c r="I1634" i="1" s="1"/>
  <c r="I1633" i="1" s="1"/>
  <c r="I1632" i="1" s="1"/>
  <c r="I1631" i="1" s="1"/>
  <c r="I1630" i="1" s="1"/>
  <c r="I1629" i="1" s="1"/>
  <c r="I1628" i="1" s="1"/>
  <c r="I1627" i="1" s="1"/>
  <c r="I1626" i="1" s="1"/>
  <c r="I1625" i="1" s="1"/>
  <c r="I1624" i="1" s="1"/>
  <c r="I1623" i="1" s="1"/>
  <c r="I1622" i="1" s="1"/>
  <c r="I1621" i="1" s="1"/>
  <c r="I1620" i="1" s="1"/>
  <c r="I1619" i="1" s="1"/>
  <c r="I1618" i="1" s="1"/>
  <c r="I1617" i="1" s="1"/>
  <c r="I1616" i="1" s="1"/>
  <c r="I1615" i="1" s="1"/>
  <c r="I1614" i="1" s="1"/>
  <c r="I1613" i="1" s="1"/>
  <c r="I1612" i="1" s="1"/>
  <c r="I1611" i="1" s="1"/>
  <c r="I1610" i="1" s="1"/>
  <c r="I1609" i="1" s="1"/>
  <c r="I1608" i="1" s="1"/>
  <c r="I1607" i="1" s="1"/>
  <c r="I1606" i="1" s="1"/>
  <c r="I1605" i="1" s="1"/>
  <c r="I1604" i="1" s="1"/>
  <c r="I1603" i="1" s="1"/>
  <c r="I1602" i="1" s="1"/>
  <c r="I1601" i="1" s="1"/>
  <c r="I1600" i="1" s="1"/>
  <c r="I1599" i="1" s="1"/>
  <c r="I1598" i="1" s="1"/>
  <c r="I1597" i="1" s="1"/>
  <c r="I1596" i="1" s="1"/>
  <c r="I1595" i="1" s="1"/>
  <c r="I1594" i="1" s="1"/>
  <c r="I1593" i="1" s="1"/>
  <c r="I1592" i="1" s="1"/>
  <c r="I1591" i="1" s="1"/>
  <c r="I1590" i="1" s="1"/>
  <c r="I1589" i="1" s="1"/>
  <c r="I1588" i="1" s="1"/>
  <c r="I1587" i="1" s="1"/>
  <c r="I1586" i="1" s="1"/>
  <c r="I1585" i="1" s="1"/>
  <c r="I1584" i="1" s="1"/>
  <c r="I1583" i="1" s="1"/>
  <c r="I1582" i="1" s="1"/>
  <c r="I1581" i="1" s="1"/>
  <c r="I1580" i="1" s="1"/>
  <c r="I1579" i="1" s="1"/>
  <c r="I1578" i="1" s="1"/>
  <c r="I1577" i="1" s="1"/>
  <c r="I1576" i="1" s="1"/>
  <c r="I1575" i="1" s="1"/>
  <c r="I1574" i="1" s="1"/>
  <c r="I1573" i="1" s="1"/>
  <c r="I1572" i="1" s="1"/>
  <c r="I1571" i="1" s="1"/>
  <c r="I1570" i="1" s="1"/>
  <c r="I1569" i="1" s="1"/>
  <c r="I1568" i="1" s="1"/>
  <c r="I1567" i="1" s="1"/>
  <c r="I1566" i="1" s="1"/>
  <c r="I1565" i="1" s="1"/>
  <c r="I1564" i="1" s="1"/>
  <c r="I1563" i="1" s="1"/>
  <c r="I1562" i="1" s="1"/>
  <c r="I1561" i="1" s="1"/>
  <c r="I1560" i="1" s="1"/>
  <c r="I1559" i="1" s="1"/>
  <c r="I1558" i="1" s="1"/>
  <c r="I1557" i="1" s="1"/>
  <c r="I1556" i="1" s="1"/>
  <c r="I1555" i="1" s="1"/>
  <c r="I1554" i="1" s="1"/>
  <c r="I1553" i="1" s="1"/>
  <c r="I1552" i="1" s="1"/>
  <c r="I1551" i="1" s="1"/>
  <c r="I1550" i="1" s="1"/>
  <c r="I1549" i="1" s="1"/>
  <c r="I1548" i="1" s="1"/>
  <c r="I1547" i="1" s="1"/>
  <c r="I1546" i="1" s="1"/>
  <c r="I1545" i="1" s="1"/>
  <c r="I1544" i="1" s="1"/>
  <c r="I1543" i="1" s="1"/>
  <c r="I1542" i="1" s="1"/>
  <c r="I1541" i="1" s="1"/>
  <c r="I1540" i="1" s="1"/>
  <c r="I1539" i="1" s="1"/>
  <c r="I1538" i="1" s="1"/>
  <c r="I1537" i="1" s="1"/>
  <c r="I1536" i="1" s="1"/>
  <c r="I1535" i="1" s="1"/>
  <c r="I1534" i="1" s="1"/>
  <c r="I1533" i="1" s="1"/>
  <c r="I1532" i="1" s="1"/>
  <c r="I1531" i="1" s="1"/>
  <c r="I1530" i="1" s="1"/>
  <c r="I1529" i="1" s="1"/>
  <c r="I1528" i="1" s="1"/>
  <c r="I1527" i="1" s="1"/>
  <c r="I1526" i="1" s="1"/>
  <c r="I1525" i="1" s="1"/>
  <c r="I1524" i="1" s="1"/>
  <c r="I1523" i="1" s="1"/>
  <c r="I1522" i="1" s="1"/>
  <c r="I1521" i="1" s="1"/>
  <c r="I1520" i="1" s="1"/>
  <c r="I1519" i="1" s="1"/>
  <c r="I1518" i="1" s="1"/>
  <c r="I1517" i="1" s="1"/>
  <c r="I1516" i="1" s="1"/>
  <c r="I1515" i="1" s="1"/>
  <c r="I1514" i="1" s="1"/>
  <c r="I1513" i="1" s="1"/>
  <c r="I1512" i="1" s="1"/>
  <c r="I1511" i="1" s="1"/>
  <c r="I1510" i="1" s="1"/>
  <c r="I1509" i="1" s="1"/>
  <c r="I1508" i="1" s="1"/>
  <c r="I1507" i="1" s="1"/>
  <c r="I1506" i="1" s="1"/>
  <c r="I1505" i="1" s="1"/>
  <c r="I1504" i="1" s="1"/>
  <c r="I1503" i="1" s="1"/>
  <c r="I1502" i="1" s="1"/>
  <c r="I1501" i="1" s="1"/>
  <c r="I1500" i="1" s="1"/>
  <c r="I1499" i="1" s="1"/>
  <c r="I1498" i="1" s="1"/>
  <c r="I1497" i="1" s="1"/>
  <c r="I1496" i="1" s="1"/>
  <c r="I1495" i="1" s="1"/>
  <c r="I1494" i="1" s="1"/>
  <c r="I1493" i="1" s="1"/>
  <c r="I1492" i="1" s="1"/>
  <c r="I1491" i="1" s="1"/>
  <c r="I1490" i="1" s="1"/>
  <c r="I1489" i="1" s="1"/>
  <c r="I1488" i="1" s="1"/>
  <c r="I1487" i="1" s="1"/>
  <c r="I1486" i="1" s="1"/>
  <c r="I1485" i="1" s="1"/>
  <c r="I1484" i="1" s="1"/>
  <c r="I1483" i="1" s="1"/>
  <c r="I1482" i="1" s="1"/>
  <c r="I1481" i="1" s="1"/>
  <c r="I1480" i="1" s="1"/>
  <c r="I1479" i="1" s="1"/>
  <c r="I1478" i="1" s="1"/>
  <c r="I1477" i="1" s="1"/>
  <c r="I1476" i="1" s="1"/>
  <c r="I1475" i="1" s="1"/>
  <c r="I1474" i="1" s="1"/>
  <c r="I1473" i="1" s="1"/>
  <c r="I1472" i="1" s="1"/>
  <c r="I1471" i="1" s="1"/>
  <c r="I1470" i="1" s="1"/>
  <c r="I1469" i="1" s="1"/>
  <c r="I1468" i="1" s="1"/>
  <c r="I1467" i="1" s="1"/>
  <c r="I1466" i="1" s="1"/>
  <c r="I1465" i="1" s="1"/>
  <c r="I1464" i="1" s="1"/>
  <c r="I1463" i="1" s="1"/>
  <c r="I1462" i="1" s="1"/>
  <c r="I1461" i="1" s="1"/>
  <c r="I1460" i="1" s="1"/>
  <c r="I1459" i="1" s="1"/>
  <c r="I1458" i="1" s="1"/>
  <c r="I1457" i="1" s="1"/>
  <c r="I1456" i="1" s="1"/>
  <c r="I1455" i="1" s="1"/>
  <c r="I1454" i="1" s="1"/>
  <c r="I1453" i="1" s="1"/>
  <c r="I1452" i="1" s="1"/>
  <c r="I1451" i="1" s="1"/>
  <c r="I1450" i="1" s="1"/>
  <c r="I1449" i="1" s="1"/>
  <c r="I1448" i="1" s="1"/>
  <c r="I1447" i="1" s="1"/>
  <c r="I1446" i="1" s="1"/>
  <c r="I1445" i="1" s="1"/>
  <c r="I1721" i="1"/>
  <c r="I1720" i="1" s="1"/>
  <c r="I1719" i="1" s="1"/>
  <c r="I1987" i="1"/>
  <c r="I1986" i="1" s="1"/>
  <c r="I1985" i="1" s="1"/>
  <c r="I1984" i="1" s="1"/>
  <c r="I1983" i="1" s="1"/>
  <c r="I1982" i="1" s="1"/>
  <c r="I1981" i="1" s="1"/>
  <c r="I1980" i="1" s="1"/>
  <c r="I1979" i="1" s="1"/>
  <c r="I1978" i="1" s="1"/>
  <c r="I1977" i="1" s="1"/>
  <c r="I1976" i="1" s="1"/>
  <c r="I1975" i="1" s="1"/>
  <c r="I1974" i="1" s="1"/>
  <c r="I1973" i="1" s="1"/>
  <c r="I1972" i="1" s="1"/>
  <c r="I1971" i="1" s="1"/>
  <c r="I1970" i="1" s="1"/>
  <c r="I1969" i="1" s="1"/>
  <c r="I1968" i="1" s="1"/>
  <c r="I1967" i="1" s="1"/>
  <c r="I1966" i="1" s="1"/>
  <c r="I1965" i="1" s="1"/>
  <c r="I1964" i="1" s="1"/>
  <c r="I1963" i="1" s="1"/>
  <c r="I1962" i="1" s="1"/>
  <c r="I1961" i="1" s="1"/>
  <c r="I1960" i="1" s="1"/>
  <c r="I1959" i="1" s="1"/>
  <c r="I1958" i="1" s="1"/>
  <c r="I1957" i="1" s="1"/>
  <c r="I1956" i="1" s="1"/>
  <c r="I1955" i="1" s="1"/>
  <c r="I1954" i="1" s="1"/>
  <c r="I1953" i="1" s="1"/>
  <c r="I1952" i="1" s="1"/>
  <c r="I1951" i="1" s="1"/>
  <c r="I1950" i="1" s="1"/>
  <c r="I1949" i="1" s="1"/>
  <c r="I1948" i="1" s="1"/>
  <c r="I1947" i="1" s="1"/>
  <c r="I1946" i="1" s="1"/>
  <c r="I1945" i="1" s="1"/>
  <c r="I1944" i="1" s="1"/>
  <c r="I1943" i="1" s="1"/>
  <c r="I1942" i="1" s="1"/>
  <c r="I1941" i="1" s="1"/>
  <c r="I1940" i="1" s="1"/>
  <c r="I1939" i="1" s="1"/>
  <c r="I1938" i="1" s="1"/>
  <c r="I1937" i="1" s="1"/>
  <c r="I1936" i="1" s="1"/>
  <c r="I1935" i="1" s="1"/>
  <c r="I1934" i="1" s="1"/>
  <c r="I1933" i="1" s="1"/>
  <c r="I1932" i="1" s="1"/>
  <c r="I1931" i="1" s="1"/>
  <c r="I1930" i="1" s="1"/>
  <c r="I1929" i="1" s="1"/>
  <c r="I1928" i="1" s="1"/>
  <c r="I1927" i="1" s="1"/>
  <c r="I1926" i="1" s="1"/>
  <c r="I1925" i="1" s="1"/>
  <c r="I1924" i="1" s="1"/>
  <c r="I1923" i="1" s="1"/>
  <c r="I1922" i="1" s="1"/>
  <c r="I1921" i="1" s="1"/>
  <c r="I1920" i="1" s="1"/>
  <c r="I1919" i="1" s="1"/>
  <c r="I1918" i="1" s="1"/>
  <c r="I1917" i="1" s="1"/>
  <c r="I1916" i="1" s="1"/>
  <c r="I1915" i="1" s="1"/>
  <c r="I1914" i="1" s="1"/>
  <c r="I1913" i="1" s="1"/>
  <c r="I1912" i="1" s="1"/>
  <c r="I1911" i="1" s="1"/>
  <c r="I1910" i="1" s="1"/>
  <c r="I1909" i="1" s="1"/>
  <c r="I1908" i="1" s="1"/>
  <c r="I1907" i="1" s="1"/>
  <c r="I1906" i="1" s="1"/>
  <c r="I1905" i="1" s="1"/>
  <c r="I1904" i="1" s="1"/>
  <c r="I1903" i="1" s="1"/>
  <c r="I1902" i="1" s="1"/>
  <c r="I1901" i="1" s="1"/>
  <c r="I1900" i="1" s="1"/>
  <c r="I1899" i="1" s="1"/>
  <c r="I1898" i="1" s="1"/>
  <c r="I1897" i="1" s="1"/>
  <c r="I1896" i="1" s="1"/>
  <c r="I1895" i="1" s="1"/>
  <c r="I1894" i="1" s="1"/>
  <c r="I1893" i="1" s="1"/>
  <c r="I1892" i="1" s="1"/>
  <c r="I1891" i="1" s="1"/>
  <c r="I1890" i="1" s="1"/>
  <c r="I1889" i="1" s="1"/>
  <c r="I1888" i="1" s="1"/>
  <c r="I1887" i="1" s="1"/>
  <c r="I1886" i="1" s="1"/>
  <c r="I1885" i="1" s="1"/>
  <c r="I1884" i="1" s="1"/>
  <c r="I1883" i="1" s="1"/>
  <c r="I1882" i="1" s="1"/>
  <c r="I1881" i="1" s="1"/>
  <c r="I1880" i="1" s="1"/>
  <c r="I1879" i="1" s="1"/>
  <c r="I1878" i="1" s="1"/>
  <c r="I1877" i="1" s="1"/>
  <c r="I1876" i="1" s="1"/>
  <c r="I1875" i="1" s="1"/>
  <c r="I1874" i="1" s="1"/>
  <c r="I1873" i="1" s="1"/>
  <c r="I1872" i="1" s="1"/>
  <c r="I1871" i="1" s="1"/>
  <c r="I1870" i="1" s="1"/>
  <c r="I1869" i="1" s="1"/>
  <c r="I1868" i="1" s="1"/>
  <c r="I1867" i="1" s="1"/>
  <c r="I1866" i="1" s="1"/>
  <c r="I1865" i="1" s="1"/>
  <c r="I1864" i="1" s="1"/>
  <c r="I1863" i="1" s="1"/>
  <c r="I1862" i="1" s="1"/>
  <c r="I1861" i="1" s="1"/>
  <c r="I1860" i="1" s="1"/>
  <c r="I1859" i="1" s="1"/>
  <c r="I1858" i="1" s="1"/>
  <c r="I1857" i="1" s="1"/>
  <c r="I1856" i="1" s="1"/>
  <c r="I1855" i="1" s="1"/>
  <c r="I1854" i="1" s="1"/>
  <c r="I1853" i="1" s="1"/>
  <c r="I1852" i="1" s="1"/>
  <c r="I1851" i="1" s="1"/>
  <c r="I1850" i="1" s="1"/>
  <c r="I1849" i="1" s="1"/>
  <c r="I1848" i="1" s="1"/>
  <c r="I1847" i="1" s="1"/>
  <c r="I1846" i="1" s="1"/>
  <c r="I1845" i="1" s="1"/>
  <c r="I1844" i="1" s="1"/>
  <c r="I1843" i="1" s="1"/>
  <c r="I1842" i="1" s="1"/>
  <c r="I1841" i="1" s="1"/>
  <c r="I1840" i="1" s="1"/>
  <c r="I1839" i="1" s="1"/>
  <c r="I1838" i="1" s="1"/>
  <c r="I1837" i="1" s="1"/>
  <c r="I1836" i="1" s="1"/>
  <c r="I1835" i="1" s="1"/>
  <c r="I1834" i="1" s="1"/>
  <c r="I1833" i="1" s="1"/>
  <c r="I1832" i="1" s="1"/>
  <c r="I1831" i="1" s="1"/>
  <c r="I1830" i="1" s="1"/>
  <c r="I1829" i="1" s="1"/>
  <c r="I1828" i="1" s="1"/>
  <c r="I1827" i="1" s="1"/>
  <c r="I1826" i="1" s="1"/>
  <c r="I1825" i="1" s="1"/>
  <c r="I1824" i="1" s="1"/>
  <c r="I1823" i="1" s="1"/>
  <c r="I1822" i="1" s="1"/>
  <c r="I1821" i="1" s="1"/>
  <c r="I1820" i="1" s="1"/>
  <c r="I1819" i="1" s="1"/>
  <c r="I1818" i="1" s="1"/>
  <c r="I1817" i="1" s="1"/>
  <c r="I1816" i="1" s="1"/>
  <c r="I1815" i="1" s="1"/>
  <c r="I1814" i="1" s="1"/>
  <c r="I1813" i="1" s="1"/>
  <c r="I1812" i="1" s="1"/>
  <c r="I1811" i="1" s="1"/>
  <c r="I1810" i="1" s="1"/>
  <c r="I1809" i="1" s="1"/>
  <c r="I1808" i="1" s="1"/>
  <c r="I1807" i="1" s="1"/>
  <c r="I1806" i="1" s="1"/>
  <c r="I1805" i="1" s="1"/>
  <c r="I1804" i="1" s="1"/>
  <c r="I1803" i="1" s="1"/>
  <c r="I1802" i="1" s="1"/>
  <c r="I1801" i="1" s="1"/>
  <c r="I1800" i="1" s="1"/>
  <c r="I1799" i="1" s="1"/>
  <c r="I1798" i="1" s="1"/>
  <c r="I1797" i="1" s="1"/>
  <c r="I1796" i="1" s="1"/>
  <c r="I1795" i="1" s="1"/>
  <c r="I1794" i="1" s="1"/>
  <c r="I1793" i="1" s="1"/>
  <c r="I1792" i="1" s="1"/>
  <c r="I1791" i="1" s="1"/>
  <c r="I1790" i="1" s="1"/>
  <c r="I1789" i="1" s="1"/>
  <c r="I1788" i="1" s="1"/>
  <c r="I1787" i="1" s="1"/>
  <c r="I1786" i="1" s="1"/>
  <c r="I1785" i="1" s="1"/>
  <c r="I1784" i="1" s="1"/>
  <c r="I1783" i="1" s="1"/>
  <c r="I1782" i="1" s="1"/>
  <c r="I1781" i="1" s="1"/>
  <c r="I1780" i="1" s="1"/>
  <c r="I1779" i="1" s="1"/>
  <c r="I1778" i="1" s="1"/>
  <c r="I1777" i="1" s="1"/>
  <c r="I1776" i="1" s="1"/>
  <c r="I1775" i="1" s="1"/>
  <c r="I1774" i="1" s="1"/>
  <c r="I1773" i="1" s="1"/>
  <c r="I1772" i="1" s="1"/>
  <c r="I1771" i="1" s="1"/>
  <c r="I1770" i="1" s="1"/>
  <c r="I1769" i="1" s="1"/>
  <c r="I1768" i="1" s="1"/>
  <c r="I1767" i="1" s="1"/>
  <c r="I1766" i="1" s="1"/>
  <c r="I1765" i="1" s="1"/>
  <c r="I1764" i="1" s="1"/>
  <c r="I1763" i="1" s="1"/>
  <c r="I1762" i="1" s="1"/>
  <c r="I1761" i="1" s="1"/>
  <c r="I1760" i="1" s="1"/>
  <c r="I1759" i="1" s="1"/>
  <c r="I1758" i="1" s="1"/>
  <c r="I1757" i="1" s="1"/>
  <c r="I1756" i="1" s="1"/>
  <c r="I1755" i="1" s="1"/>
  <c r="I1754" i="1" s="1"/>
  <c r="I1753" i="1" s="1"/>
  <c r="I1752" i="1" s="1"/>
  <c r="I1751" i="1" s="1"/>
  <c r="I1750" i="1" s="1"/>
  <c r="I1749" i="1" s="1"/>
  <c r="I1748" i="1" s="1"/>
  <c r="I1747" i="1" s="1"/>
  <c r="I1746" i="1" s="1"/>
  <c r="I1745" i="1" s="1"/>
  <c r="I1744" i="1" s="1"/>
  <c r="I1743" i="1" s="1"/>
  <c r="I1742" i="1" s="1"/>
  <c r="I1741" i="1" s="1"/>
  <c r="I1740" i="1" s="1"/>
  <c r="I1739" i="1" s="1"/>
  <c r="I1738" i="1" s="1"/>
  <c r="I1737" i="1" s="1"/>
  <c r="I1736" i="1" s="1"/>
  <c r="I1735" i="1" s="1"/>
  <c r="I1734" i="1" s="1"/>
  <c r="I1733" i="1" s="1"/>
  <c r="I1732" i="1" s="1"/>
  <c r="I1731" i="1" s="1"/>
  <c r="I1730" i="1" s="1"/>
  <c r="I1729" i="1" s="1"/>
  <c r="I1728" i="1" s="1"/>
  <c r="I1727" i="1" s="1"/>
  <c r="I1726" i="1" s="1"/>
  <c r="I1725" i="1" s="1"/>
  <c r="I1724" i="1" s="1"/>
  <c r="I1989" i="1"/>
  <c r="I1988" i="1" s="1"/>
  <c r="I2313" i="1"/>
  <c r="I2312" i="1" s="1"/>
  <c r="I2311" i="1" s="1"/>
  <c r="I2310" i="1" s="1"/>
  <c r="I2309" i="1" s="1"/>
  <c r="I2308" i="1" s="1"/>
  <c r="I2307" i="1" s="1"/>
  <c r="I2306" i="1" s="1"/>
  <c r="I2305" i="1" s="1"/>
  <c r="I2304" i="1" s="1"/>
  <c r="I2303" i="1" s="1"/>
  <c r="I2302" i="1" s="1"/>
  <c r="I2301" i="1" s="1"/>
  <c r="I2300" i="1" s="1"/>
  <c r="I2299" i="1" s="1"/>
  <c r="I2298" i="1" s="1"/>
  <c r="I2297" i="1" s="1"/>
  <c r="I2296" i="1" s="1"/>
  <c r="I2295" i="1" s="1"/>
  <c r="I2294" i="1" s="1"/>
  <c r="I2293" i="1" s="1"/>
  <c r="I2292" i="1" s="1"/>
  <c r="I2291" i="1" s="1"/>
  <c r="I2290" i="1" s="1"/>
  <c r="I2289" i="1" s="1"/>
  <c r="I2288" i="1" s="1"/>
  <c r="I2287" i="1" s="1"/>
  <c r="I2286" i="1" s="1"/>
  <c r="I2285" i="1" s="1"/>
  <c r="I2284" i="1" s="1"/>
  <c r="I2283" i="1" s="1"/>
  <c r="I2282" i="1" s="1"/>
  <c r="I2281" i="1" s="1"/>
  <c r="I2280" i="1" s="1"/>
  <c r="I2279" i="1" s="1"/>
  <c r="I2278" i="1" s="1"/>
  <c r="I2277" i="1" s="1"/>
  <c r="I2276" i="1" s="1"/>
  <c r="I2275" i="1" s="1"/>
  <c r="I2274" i="1" s="1"/>
  <c r="I2273" i="1" s="1"/>
  <c r="I2272" i="1" s="1"/>
  <c r="I2271" i="1" s="1"/>
  <c r="I2270" i="1" s="1"/>
  <c r="I2269" i="1" s="1"/>
  <c r="I2268" i="1" s="1"/>
  <c r="I2267" i="1" s="1"/>
  <c r="I2266" i="1" s="1"/>
  <c r="I2265" i="1" s="1"/>
  <c r="I2264" i="1" s="1"/>
  <c r="I2263" i="1" s="1"/>
  <c r="I2262" i="1" s="1"/>
  <c r="I2261" i="1" s="1"/>
  <c r="I2260" i="1" s="1"/>
  <c r="I2259" i="1" s="1"/>
  <c r="I2258" i="1" s="1"/>
  <c r="I2257" i="1" s="1"/>
  <c r="I2256" i="1" s="1"/>
  <c r="I2255" i="1" s="1"/>
  <c r="I2254" i="1" s="1"/>
  <c r="I2253" i="1" s="1"/>
  <c r="I2252" i="1" s="1"/>
  <c r="I2251" i="1" s="1"/>
  <c r="I2250" i="1" s="1"/>
  <c r="I2249" i="1" s="1"/>
  <c r="I2248" i="1" s="1"/>
  <c r="I2247" i="1" s="1"/>
  <c r="I2246" i="1" s="1"/>
  <c r="I2245" i="1" s="1"/>
  <c r="I2244" i="1" s="1"/>
  <c r="I2243" i="1" s="1"/>
  <c r="I2242" i="1" s="1"/>
  <c r="I2241" i="1" s="1"/>
  <c r="I2240" i="1" s="1"/>
  <c r="I2239" i="1" s="1"/>
  <c r="I2238" i="1" s="1"/>
  <c r="I2237" i="1" s="1"/>
  <c r="I2236" i="1" s="1"/>
  <c r="I2235" i="1" s="1"/>
  <c r="I2234" i="1" s="1"/>
  <c r="I2233" i="1" s="1"/>
  <c r="I2232" i="1" s="1"/>
  <c r="I2231" i="1" s="1"/>
  <c r="I2230" i="1" s="1"/>
  <c r="I2229" i="1" s="1"/>
  <c r="I2228" i="1" s="1"/>
  <c r="I2227" i="1" s="1"/>
  <c r="I2226" i="1" s="1"/>
  <c r="I2225" i="1" s="1"/>
  <c r="I2224" i="1" s="1"/>
  <c r="I2223" i="1" s="1"/>
  <c r="I2222" i="1" s="1"/>
  <c r="I2221" i="1" s="1"/>
  <c r="I2220" i="1" s="1"/>
  <c r="I2219" i="1" s="1"/>
  <c r="I2218" i="1" s="1"/>
  <c r="I2217" i="1" s="1"/>
  <c r="I2216" i="1" s="1"/>
  <c r="I2215" i="1" s="1"/>
  <c r="I2214" i="1" s="1"/>
  <c r="I2213" i="1" s="1"/>
  <c r="I2212" i="1" s="1"/>
  <c r="I2211" i="1" s="1"/>
  <c r="I2210" i="1" s="1"/>
  <c r="I2209" i="1" s="1"/>
  <c r="I2208" i="1" s="1"/>
  <c r="I2207" i="1" s="1"/>
  <c r="I2206" i="1" s="1"/>
  <c r="I2205" i="1" s="1"/>
  <c r="I2204" i="1" s="1"/>
  <c r="I2203" i="1" s="1"/>
  <c r="I2202" i="1" s="1"/>
  <c r="I2201" i="1" s="1"/>
  <c r="I2200" i="1" s="1"/>
  <c r="I2199" i="1" s="1"/>
  <c r="I2198" i="1" s="1"/>
  <c r="I2197" i="1" s="1"/>
  <c r="I2196" i="1" s="1"/>
  <c r="I2195" i="1" s="1"/>
  <c r="I2194" i="1" s="1"/>
  <c r="I2193" i="1" s="1"/>
  <c r="I2192" i="1" s="1"/>
  <c r="I2191" i="1" s="1"/>
  <c r="I2190" i="1" s="1"/>
  <c r="I2189" i="1" s="1"/>
  <c r="I2188" i="1" s="1"/>
  <c r="I2187" i="1" s="1"/>
  <c r="I2186" i="1" s="1"/>
  <c r="I2185" i="1" s="1"/>
  <c r="I2184" i="1" s="1"/>
  <c r="I2183" i="1" s="1"/>
  <c r="I2182" i="1" s="1"/>
  <c r="I2181" i="1" s="1"/>
  <c r="I2180" i="1" s="1"/>
  <c r="I2179" i="1" s="1"/>
  <c r="I2178" i="1" s="1"/>
  <c r="I2177" i="1" s="1"/>
  <c r="I2176" i="1" s="1"/>
  <c r="I2175" i="1" s="1"/>
  <c r="I2174" i="1" s="1"/>
  <c r="I2173" i="1" s="1"/>
  <c r="I2172" i="1" s="1"/>
  <c r="I2171" i="1" s="1"/>
  <c r="I2170" i="1" s="1"/>
  <c r="I2169" i="1" s="1"/>
  <c r="I2168" i="1" s="1"/>
  <c r="I2167" i="1" s="1"/>
  <c r="I2166" i="1" s="1"/>
  <c r="I2165" i="1" s="1"/>
  <c r="I2164" i="1" s="1"/>
  <c r="I2163" i="1" s="1"/>
  <c r="I2162" i="1" s="1"/>
  <c r="I2161" i="1" s="1"/>
  <c r="I2160" i="1" s="1"/>
  <c r="I2159" i="1" s="1"/>
  <c r="I2158" i="1" s="1"/>
  <c r="I2157" i="1" s="1"/>
  <c r="I2156" i="1" s="1"/>
  <c r="I2155" i="1" s="1"/>
  <c r="I2154" i="1" s="1"/>
  <c r="I2153" i="1" s="1"/>
  <c r="I2152" i="1" s="1"/>
  <c r="I2151" i="1" s="1"/>
  <c r="I2150" i="1" s="1"/>
  <c r="I2149" i="1" s="1"/>
  <c r="I2148" i="1" s="1"/>
  <c r="I2147" i="1" s="1"/>
  <c r="I2146" i="1" s="1"/>
  <c r="I2145" i="1" s="1"/>
  <c r="I2144" i="1" s="1"/>
  <c r="I2143" i="1" s="1"/>
  <c r="I2142" i="1" s="1"/>
  <c r="I2141" i="1" s="1"/>
  <c r="I2140" i="1" s="1"/>
  <c r="I2139" i="1" s="1"/>
  <c r="I2138" i="1" s="1"/>
  <c r="I2137" i="1" s="1"/>
  <c r="I2136" i="1" s="1"/>
  <c r="I2135" i="1" s="1"/>
  <c r="I2134" i="1" s="1"/>
  <c r="I2133" i="1" s="1"/>
  <c r="I2132" i="1" s="1"/>
  <c r="I2131" i="1" s="1"/>
  <c r="I2130" i="1" s="1"/>
  <c r="I2129" i="1" s="1"/>
  <c r="I2128" i="1" s="1"/>
  <c r="I2127" i="1" s="1"/>
  <c r="I2126" i="1" s="1"/>
  <c r="I2125" i="1" s="1"/>
  <c r="I2124" i="1" s="1"/>
  <c r="I2123" i="1" s="1"/>
  <c r="I2122" i="1" s="1"/>
  <c r="I2121" i="1" s="1"/>
  <c r="I2120" i="1" s="1"/>
  <c r="I2119" i="1" s="1"/>
  <c r="I2118" i="1" s="1"/>
  <c r="I2117" i="1" s="1"/>
  <c r="I2116" i="1" s="1"/>
  <c r="I2115" i="1" s="1"/>
  <c r="I2114" i="1" s="1"/>
  <c r="I2113" i="1" s="1"/>
  <c r="I2112" i="1" s="1"/>
  <c r="I2111" i="1" s="1"/>
  <c r="I2110" i="1" s="1"/>
  <c r="I2109" i="1" s="1"/>
  <c r="I2108" i="1" s="1"/>
  <c r="I2107" i="1" s="1"/>
  <c r="I2106" i="1" s="1"/>
  <c r="I2105" i="1" s="1"/>
  <c r="I2104" i="1" s="1"/>
  <c r="I2103" i="1" s="1"/>
  <c r="I2102" i="1" s="1"/>
  <c r="I2101" i="1" s="1"/>
  <c r="I2100" i="1" s="1"/>
  <c r="I2099" i="1" s="1"/>
  <c r="I2098" i="1" s="1"/>
  <c r="I2097" i="1" s="1"/>
  <c r="I2096" i="1" s="1"/>
  <c r="I2095" i="1" s="1"/>
  <c r="I2094" i="1" s="1"/>
  <c r="I2093" i="1" s="1"/>
  <c r="I2092" i="1" s="1"/>
  <c r="I2091" i="1" s="1"/>
  <c r="I2090" i="1" s="1"/>
  <c r="I2089" i="1" s="1"/>
  <c r="I2088" i="1" s="1"/>
  <c r="I2087" i="1" s="1"/>
  <c r="I2086" i="1" s="1"/>
  <c r="I2085" i="1" s="1"/>
  <c r="I2084" i="1" s="1"/>
  <c r="I2083" i="1" s="1"/>
  <c r="I2082" i="1" s="1"/>
  <c r="I2081" i="1" s="1"/>
  <c r="I2080" i="1" s="1"/>
  <c r="I2079" i="1" s="1"/>
  <c r="I2078" i="1" s="1"/>
  <c r="I2077" i="1" s="1"/>
  <c r="I2076" i="1" s="1"/>
  <c r="I2075" i="1" s="1"/>
  <c r="I2074" i="1" s="1"/>
  <c r="I2073" i="1" s="1"/>
  <c r="I2072" i="1" s="1"/>
  <c r="I2071" i="1" s="1"/>
  <c r="I2070" i="1" s="1"/>
  <c r="I2069" i="1" s="1"/>
  <c r="I2068" i="1" s="1"/>
  <c r="I2067" i="1" s="1"/>
  <c r="I2066" i="1" s="1"/>
  <c r="I2065" i="1" s="1"/>
  <c r="I2064" i="1" s="1"/>
  <c r="I2063" i="1" s="1"/>
  <c r="I2062" i="1" s="1"/>
  <c r="I2061" i="1" s="1"/>
  <c r="I2060" i="1" s="1"/>
  <c r="I2059" i="1" s="1"/>
  <c r="I2058" i="1" s="1"/>
  <c r="I2057" i="1" s="1"/>
  <c r="I2056" i="1" s="1"/>
  <c r="I2055" i="1" s="1"/>
  <c r="I2054" i="1" s="1"/>
  <c r="I2053" i="1" s="1"/>
  <c r="I2052" i="1" s="1"/>
  <c r="I2051" i="1" s="1"/>
  <c r="I2050" i="1" s="1"/>
  <c r="I2049" i="1" s="1"/>
  <c r="I2048" i="1" s="1"/>
  <c r="I2047" i="1" s="1"/>
  <c r="I2046" i="1" s="1"/>
  <c r="I2045" i="1" s="1"/>
  <c r="I2044" i="1" s="1"/>
  <c r="I2043" i="1" s="1"/>
  <c r="I2042" i="1" s="1"/>
  <c r="I2041" i="1" s="1"/>
  <c r="I2040" i="1" s="1"/>
  <c r="I2039" i="1" s="1"/>
  <c r="I2038" i="1" s="1"/>
  <c r="I2037" i="1" s="1"/>
  <c r="I2036" i="1" s="1"/>
  <c r="I2035" i="1" s="1"/>
  <c r="I2034" i="1" s="1"/>
  <c r="I2033" i="1" s="1"/>
  <c r="I2032" i="1" s="1"/>
  <c r="I2031" i="1" s="1"/>
  <c r="I2030" i="1" s="1"/>
  <c r="I2029" i="1" s="1"/>
  <c r="I2028" i="1" s="1"/>
  <c r="I2027" i="1" s="1"/>
  <c r="I2026" i="1" s="1"/>
  <c r="I2025" i="1" s="1"/>
  <c r="I2024" i="1" s="1"/>
  <c r="I2023" i="1" s="1"/>
  <c r="I2022" i="1" s="1"/>
  <c r="I2021" i="1" s="1"/>
  <c r="I2020" i="1" s="1"/>
  <c r="I2019" i="1" s="1"/>
  <c r="I2018" i="1" s="1"/>
  <c r="I2017" i="1" s="1"/>
  <c r="I2016" i="1" s="1"/>
  <c r="I2015" i="1" s="1"/>
  <c r="I2014" i="1" s="1"/>
  <c r="I2013" i="1" s="1"/>
  <c r="I2012" i="1" s="1"/>
  <c r="I2011" i="1" s="1"/>
  <c r="I2010" i="1" s="1"/>
  <c r="I2009" i="1" s="1"/>
  <c r="I2008" i="1" s="1"/>
  <c r="I2007" i="1" s="1"/>
  <c r="I2006" i="1" s="1"/>
  <c r="I2005" i="1" s="1"/>
  <c r="I2004" i="1" s="1"/>
  <c r="I2003" i="1" s="1"/>
  <c r="I2002" i="1" s="1"/>
  <c r="I2001" i="1" s="1"/>
  <c r="I2000" i="1" s="1"/>
  <c r="I1999" i="1" s="1"/>
  <c r="I1998" i="1" s="1"/>
  <c r="I1997" i="1" s="1"/>
  <c r="I1996" i="1" s="1"/>
  <c r="I1995" i="1" s="1"/>
  <c r="I1994" i="1" s="1"/>
  <c r="I1993" i="1" s="1"/>
  <c r="I1992" i="1" s="1"/>
  <c r="I2314" i="1"/>
  <c r="I2316" i="1"/>
  <c r="I2315" i="1" s="1"/>
  <c r="I2643" i="1"/>
  <c r="I2642" i="1" s="1"/>
  <c r="I2641" i="1" s="1"/>
  <c r="I2640" i="1" s="1"/>
  <c r="I2639" i="1" s="1"/>
  <c r="I2638" i="1" s="1"/>
  <c r="I2637" i="1" s="1"/>
  <c r="I2636" i="1" s="1"/>
  <c r="I2635" i="1" s="1"/>
  <c r="I2634" i="1" s="1"/>
  <c r="I2633" i="1" s="1"/>
  <c r="I2632" i="1" s="1"/>
  <c r="I2631" i="1" s="1"/>
  <c r="I2630" i="1" s="1"/>
  <c r="I2629" i="1" s="1"/>
  <c r="I2628" i="1" s="1"/>
  <c r="I2627" i="1" s="1"/>
  <c r="I2626" i="1" s="1"/>
  <c r="I2625" i="1" s="1"/>
  <c r="I2624" i="1" s="1"/>
  <c r="I2623" i="1" s="1"/>
  <c r="I2622" i="1" s="1"/>
  <c r="I2621" i="1" s="1"/>
  <c r="I2620" i="1" s="1"/>
  <c r="I2619" i="1" s="1"/>
  <c r="I2618" i="1" s="1"/>
  <c r="I2617" i="1" s="1"/>
  <c r="I2616" i="1" s="1"/>
  <c r="I2615" i="1" s="1"/>
  <c r="I2614" i="1" s="1"/>
  <c r="I2613" i="1" s="1"/>
  <c r="I2612" i="1" s="1"/>
  <c r="I2611" i="1" s="1"/>
  <c r="I2610" i="1" s="1"/>
  <c r="I2609" i="1" s="1"/>
  <c r="I2608" i="1" s="1"/>
  <c r="I2607" i="1" s="1"/>
  <c r="I2606" i="1" s="1"/>
  <c r="I2605" i="1" s="1"/>
  <c r="I2604" i="1" s="1"/>
  <c r="I2603" i="1" s="1"/>
  <c r="I2602" i="1" s="1"/>
  <c r="I2601" i="1" s="1"/>
  <c r="I2600" i="1" s="1"/>
  <c r="I2599" i="1" s="1"/>
  <c r="I2598" i="1" s="1"/>
  <c r="I2597" i="1" s="1"/>
  <c r="I2596" i="1" s="1"/>
  <c r="I2595" i="1" s="1"/>
  <c r="I2594" i="1" s="1"/>
  <c r="I2593" i="1" s="1"/>
  <c r="I2592" i="1" s="1"/>
  <c r="I2591" i="1" s="1"/>
  <c r="I2590" i="1" s="1"/>
  <c r="I2589" i="1" s="1"/>
  <c r="I2588" i="1" s="1"/>
  <c r="I2587" i="1" s="1"/>
  <c r="I2586" i="1" s="1"/>
  <c r="I2585" i="1" s="1"/>
  <c r="I2584" i="1" s="1"/>
  <c r="I2583" i="1" s="1"/>
  <c r="I2582" i="1" s="1"/>
  <c r="I2581" i="1" s="1"/>
  <c r="I2580" i="1" s="1"/>
  <c r="I2579" i="1" s="1"/>
  <c r="I2578" i="1" s="1"/>
  <c r="I2577" i="1" s="1"/>
  <c r="I2576" i="1" s="1"/>
  <c r="I2575" i="1" s="1"/>
  <c r="I2574" i="1" s="1"/>
  <c r="I2573" i="1" s="1"/>
  <c r="I2572" i="1" s="1"/>
  <c r="I2571" i="1" s="1"/>
  <c r="I2570" i="1" s="1"/>
  <c r="I2569" i="1" s="1"/>
  <c r="I2568" i="1" s="1"/>
  <c r="I2567" i="1" s="1"/>
  <c r="I2566" i="1" s="1"/>
  <c r="I2565" i="1" s="1"/>
  <c r="I2564" i="1" s="1"/>
  <c r="I2563" i="1" s="1"/>
  <c r="I2562" i="1" s="1"/>
  <c r="I2561" i="1" s="1"/>
  <c r="I2560" i="1" s="1"/>
  <c r="I2559" i="1" s="1"/>
  <c r="I2558" i="1" s="1"/>
  <c r="I2557" i="1" s="1"/>
  <c r="I2556" i="1" s="1"/>
  <c r="I2555" i="1" s="1"/>
  <c r="I2554" i="1" s="1"/>
  <c r="I2553" i="1" s="1"/>
  <c r="I2552" i="1" s="1"/>
  <c r="I2551" i="1" s="1"/>
  <c r="I2550" i="1" s="1"/>
  <c r="I2549" i="1" s="1"/>
  <c r="I2548" i="1" s="1"/>
  <c r="I2547" i="1" s="1"/>
  <c r="I2546" i="1" s="1"/>
  <c r="I2545" i="1" s="1"/>
  <c r="I2544" i="1" s="1"/>
  <c r="I2543" i="1" s="1"/>
  <c r="I2542" i="1" s="1"/>
  <c r="I2541" i="1" s="1"/>
  <c r="I2540" i="1" s="1"/>
  <c r="I2539" i="1" s="1"/>
  <c r="I2538" i="1" s="1"/>
  <c r="I2537" i="1" s="1"/>
  <c r="I2536" i="1" s="1"/>
  <c r="I2535" i="1" s="1"/>
  <c r="I2534" i="1" s="1"/>
  <c r="I2533" i="1" s="1"/>
  <c r="I2532" i="1" s="1"/>
  <c r="I2531" i="1" s="1"/>
  <c r="I2530" i="1" s="1"/>
  <c r="I2529" i="1" s="1"/>
  <c r="I2528" i="1" s="1"/>
  <c r="I2527" i="1" s="1"/>
  <c r="I2526" i="1" s="1"/>
  <c r="I2525" i="1" s="1"/>
  <c r="I2524" i="1" s="1"/>
  <c r="I2523" i="1" s="1"/>
  <c r="I2522" i="1" s="1"/>
  <c r="I2521" i="1" s="1"/>
  <c r="I2520" i="1" s="1"/>
  <c r="I2519" i="1" s="1"/>
  <c r="I2518" i="1" s="1"/>
  <c r="I2517" i="1" s="1"/>
  <c r="I2516" i="1" s="1"/>
  <c r="I2515" i="1" s="1"/>
  <c r="I2514" i="1" s="1"/>
  <c r="I2513" i="1" s="1"/>
  <c r="I2512" i="1" s="1"/>
  <c r="I2511" i="1" s="1"/>
  <c r="I2510" i="1" s="1"/>
  <c r="I2509" i="1" s="1"/>
  <c r="I2508" i="1" s="1"/>
  <c r="I2507" i="1" s="1"/>
  <c r="I2506" i="1" s="1"/>
  <c r="I2505" i="1" s="1"/>
  <c r="I2504" i="1" s="1"/>
  <c r="I2503" i="1" s="1"/>
  <c r="I2502" i="1" s="1"/>
  <c r="I2501" i="1" s="1"/>
  <c r="I2500" i="1" s="1"/>
  <c r="I2499" i="1" s="1"/>
  <c r="I2498" i="1" s="1"/>
  <c r="I2497" i="1" s="1"/>
  <c r="I2496" i="1" s="1"/>
  <c r="I2495" i="1" s="1"/>
  <c r="I2494" i="1" s="1"/>
  <c r="I2493" i="1" s="1"/>
  <c r="I2492" i="1" s="1"/>
  <c r="I2491" i="1" s="1"/>
  <c r="I2490" i="1" s="1"/>
  <c r="I2489" i="1" s="1"/>
  <c r="I2488" i="1" s="1"/>
  <c r="I2487" i="1" s="1"/>
  <c r="I2486" i="1" s="1"/>
  <c r="I2485" i="1" s="1"/>
  <c r="I2484" i="1" s="1"/>
  <c r="I2483" i="1" s="1"/>
  <c r="I2482" i="1" s="1"/>
  <c r="I2481" i="1" s="1"/>
  <c r="I2480" i="1" s="1"/>
  <c r="I2479" i="1" s="1"/>
  <c r="I2478" i="1" s="1"/>
  <c r="I2477" i="1" s="1"/>
  <c r="I2476" i="1" s="1"/>
  <c r="I2475" i="1" s="1"/>
  <c r="I2474" i="1" s="1"/>
  <c r="I2473" i="1" s="1"/>
  <c r="I2472" i="1" s="1"/>
  <c r="I2471" i="1" s="1"/>
  <c r="I2470" i="1" s="1"/>
  <c r="I2469" i="1" s="1"/>
  <c r="I2468" i="1" s="1"/>
  <c r="I2467" i="1" s="1"/>
  <c r="I2466" i="1" s="1"/>
  <c r="I2465" i="1" s="1"/>
  <c r="I2464" i="1" s="1"/>
  <c r="I2463" i="1" s="1"/>
  <c r="I2462" i="1" s="1"/>
  <c r="I2461" i="1" s="1"/>
  <c r="I2460" i="1" s="1"/>
  <c r="I2459" i="1" s="1"/>
  <c r="I2458" i="1" s="1"/>
  <c r="I2457" i="1" s="1"/>
  <c r="I2456" i="1" s="1"/>
  <c r="I2455" i="1" s="1"/>
  <c r="I2454" i="1" s="1"/>
  <c r="I2453" i="1" s="1"/>
  <c r="I2452" i="1" s="1"/>
  <c r="I2451" i="1" s="1"/>
  <c r="I2450" i="1" s="1"/>
  <c r="I2449" i="1" s="1"/>
  <c r="I2448" i="1" s="1"/>
  <c r="I2447" i="1" s="1"/>
  <c r="I2446" i="1" s="1"/>
  <c r="I2445" i="1" s="1"/>
  <c r="I2444" i="1" s="1"/>
  <c r="I2443" i="1" s="1"/>
  <c r="I2442" i="1" s="1"/>
  <c r="I2441" i="1" s="1"/>
  <c r="I2440" i="1" s="1"/>
  <c r="I2439" i="1" s="1"/>
  <c r="I2438" i="1" s="1"/>
  <c r="I2437" i="1" s="1"/>
  <c r="I2436" i="1" s="1"/>
  <c r="I2435" i="1" s="1"/>
  <c r="I2434" i="1" s="1"/>
  <c r="I2433" i="1" s="1"/>
  <c r="I2432" i="1" s="1"/>
  <c r="I2431" i="1" s="1"/>
  <c r="I2430" i="1" s="1"/>
  <c r="I2429" i="1" s="1"/>
  <c r="I2428" i="1" s="1"/>
  <c r="I2427" i="1" s="1"/>
  <c r="I2426" i="1" s="1"/>
  <c r="I2425" i="1" s="1"/>
  <c r="I2424" i="1" s="1"/>
  <c r="I2423" i="1" s="1"/>
  <c r="I2422" i="1" s="1"/>
  <c r="I2421" i="1" s="1"/>
  <c r="I2420" i="1" s="1"/>
  <c r="I2419" i="1" s="1"/>
  <c r="I2418" i="1" s="1"/>
  <c r="I2417" i="1" s="1"/>
  <c r="I2416" i="1" s="1"/>
  <c r="I2415" i="1" s="1"/>
  <c r="I2414" i="1" s="1"/>
  <c r="I2413" i="1" s="1"/>
  <c r="I2412" i="1" s="1"/>
  <c r="I2411" i="1" s="1"/>
  <c r="I2410" i="1" s="1"/>
  <c r="I2409" i="1" s="1"/>
  <c r="I2408" i="1" s="1"/>
  <c r="I2407" i="1" s="1"/>
  <c r="I2406" i="1" s="1"/>
  <c r="I2405" i="1" s="1"/>
  <c r="I2404" i="1" s="1"/>
  <c r="I2403" i="1" s="1"/>
  <c r="I2402" i="1" s="1"/>
  <c r="I2401" i="1" s="1"/>
  <c r="I2400" i="1" s="1"/>
  <c r="I2399" i="1" s="1"/>
  <c r="I2398" i="1" s="1"/>
  <c r="I2397" i="1" s="1"/>
  <c r="I2396" i="1" s="1"/>
  <c r="I2395" i="1" s="1"/>
  <c r="I2394" i="1" s="1"/>
  <c r="I2393" i="1" s="1"/>
  <c r="I2392" i="1" s="1"/>
  <c r="I2391" i="1" s="1"/>
  <c r="I2390" i="1" s="1"/>
  <c r="I2389" i="1" s="1"/>
  <c r="I2388" i="1" s="1"/>
  <c r="I2387" i="1" s="1"/>
  <c r="I2386" i="1" s="1"/>
  <c r="I2385" i="1" s="1"/>
  <c r="I2384" i="1" s="1"/>
  <c r="I2383" i="1" s="1"/>
  <c r="I2382" i="1" s="1"/>
  <c r="I2381" i="1" s="1"/>
  <c r="I2380" i="1" s="1"/>
  <c r="I2379" i="1" s="1"/>
  <c r="I2378" i="1" s="1"/>
  <c r="I2377" i="1" s="1"/>
  <c r="I2376" i="1" s="1"/>
  <c r="I2375" i="1" s="1"/>
  <c r="I2374" i="1" s="1"/>
  <c r="I2373" i="1" s="1"/>
  <c r="I2372" i="1" s="1"/>
  <c r="I2371" i="1" s="1"/>
  <c r="I2370" i="1" s="1"/>
  <c r="I2369" i="1" s="1"/>
  <c r="I2368" i="1" s="1"/>
  <c r="I2367" i="1" s="1"/>
  <c r="I2366" i="1" s="1"/>
  <c r="I2365" i="1" s="1"/>
  <c r="I2364" i="1" s="1"/>
  <c r="I2363" i="1" s="1"/>
  <c r="I2362" i="1" s="1"/>
  <c r="I2361" i="1" s="1"/>
  <c r="I2360" i="1" s="1"/>
  <c r="I2359" i="1" s="1"/>
  <c r="I2358" i="1" s="1"/>
  <c r="I2357" i="1" s="1"/>
  <c r="I2356" i="1" s="1"/>
  <c r="I2355" i="1" s="1"/>
  <c r="I2354" i="1" s="1"/>
  <c r="I2353" i="1" s="1"/>
  <c r="I2352" i="1" s="1"/>
  <c r="I2351" i="1" s="1"/>
  <c r="I2350" i="1" s="1"/>
  <c r="I2349" i="1" s="1"/>
  <c r="I2348" i="1" s="1"/>
  <c r="I2347" i="1" s="1"/>
  <c r="I2346" i="1" s="1"/>
  <c r="I2345" i="1" s="1"/>
  <c r="I2344" i="1" s="1"/>
  <c r="I2343" i="1" s="1"/>
  <c r="I2342" i="1" s="1"/>
  <c r="I2341" i="1" s="1"/>
  <c r="I2340" i="1" s="1"/>
  <c r="I2339" i="1" s="1"/>
  <c r="I2338" i="1" s="1"/>
  <c r="I2337" i="1" s="1"/>
  <c r="I2336" i="1" s="1"/>
  <c r="I2335" i="1" s="1"/>
  <c r="I2334" i="1" s="1"/>
  <c r="I2333" i="1" s="1"/>
  <c r="I2332" i="1" s="1"/>
  <c r="I2331" i="1" s="1"/>
  <c r="I2330" i="1" s="1"/>
  <c r="I2329" i="1" s="1"/>
  <c r="I2328" i="1" s="1"/>
  <c r="I2327" i="1" s="1"/>
  <c r="I2326" i="1" s="1"/>
  <c r="I2325" i="1" s="1"/>
  <c r="I2324" i="1" s="1"/>
  <c r="I2323" i="1" s="1"/>
  <c r="I2322" i="1" s="1"/>
  <c r="I2321" i="1" s="1"/>
  <c r="I2320" i="1" s="1"/>
  <c r="I2319" i="1" s="1"/>
  <c r="I2644" i="1"/>
  <c r="I2645" i="1"/>
  <c r="I2976" i="1"/>
  <c r="I2975" i="1" s="1"/>
  <c r="I2974" i="1" s="1"/>
  <c r="I2973" i="1" s="1"/>
  <c r="I2972" i="1" s="1"/>
  <c r="I2971" i="1" s="1"/>
  <c r="I2970" i="1" s="1"/>
  <c r="I2969" i="1" s="1"/>
  <c r="I2968" i="1" s="1"/>
  <c r="I2967" i="1" s="1"/>
  <c r="I2966" i="1" s="1"/>
  <c r="I2965" i="1" s="1"/>
  <c r="I2964" i="1" s="1"/>
  <c r="I2963" i="1" s="1"/>
  <c r="I2962" i="1" s="1"/>
  <c r="I2961" i="1" s="1"/>
  <c r="I2960" i="1" s="1"/>
  <c r="I2959" i="1" s="1"/>
  <c r="I2958" i="1" s="1"/>
  <c r="I2957" i="1" s="1"/>
  <c r="I2956" i="1" s="1"/>
  <c r="I2955" i="1" s="1"/>
  <c r="I2954" i="1" s="1"/>
  <c r="I2953" i="1" s="1"/>
  <c r="I2952" i="1" s="1"/>
  <c r="I2951" i="1" s="1"/>
  <c r="I2950" i="1" s="1"/>
  <c r="I2949" i="1" s="1"/>
  <c r="I2948" i="1" s="1"/>
  <c r="I2947" i="1" s="1"/>
  <c r="I2946" i="1" s="1"/>
  <c r="I2945" i="1" s="1"/>
  <c r="I2944" i="1" s="1"/>
  <c r="I2943" i="1" s="1"/>
  <c r="I2942" i="1" s="1"/>
  <c r="I2941" i="1" s="1"/>
  <c r="I2940" i="1" s="1"/>
  <c r="I2939" i="1" s="1"/>
  <c r="I2938" i="1" s="1"/>
  <c r="I2937" i="1" s="1"/>
  <c r="I2936" i="1" s="1"/>
  <c r="I2935" i="1" s="1"/>
  <c r="I2934" i="1" s="1"/>
  <c r="I2933" i="1" s="1"/>
  <c r="I2932" i="1" s="1"/>
  <c r="I2931" i="1" s="1"/>
  <c r="I2930" i="1" s="1"/>
  <c r="I2929" i="1" s="1"/>
  <c r="I2928" i="1" s="1"/>
  <c r="I2927" i="1" s="1"/>
  <c r="I2926" i="1" s="1"/>
  <c r="I2925" i="1" s="1"/>
  <c r="I2924" i="1" s="1"/>
  <c r="I2923" i="1" s="1"/>
  <c r="I2922" i="1" s="1"/>
  <c r="I2921" i="1" s="1"/>
  <c r="I2920" i="1" s="1"/>
  <c r="I2919" i="1" s="1"/>
  <c r="I2918" i="1" s="1"/>
  <c r="I2917" i="1" s="1"/>
  <c r="I2916" i="1" s="1"/>
  <c r="I2915" i="1" s="1"/>
  <c r="I2914" i="1" s="1"/>
  <c r="I2913" i="1" s="1"/>
  <c r="I2912" i="1" s="1"/>
  <c r="I2911" i="1" s="1"/>
  <c r="I2910" i="1" s="1"/>
  <c r="I2909" i="1" s="1"/>
  <c r="I2908" i="1" s="1"/>
  <c r="I2907" i="1" s="1"/>
  <c r="I2906" i="1" s="1"/>
  <c r="I2905" i="1" s="1"/>
  <c r="I2904" i="1" s="1"/>
  <c r="I2903" i="1" s="1"/>
  <c r="I2902" i="1" s="1"/>
  <c r="I2901" i="1" s="1"/>
  <c r="I2900" i="1" s="1"/>
  <c r="I2899" i="1" s="1"/>
  <c r="I2898" i="1" s="1"/>
  <c r="I2897" i="1" s="1"/>
  <c r="I2896" i="1" s="1"/>
  <c r="I2895" i="1" s="1"/>
  <c r="I2894" i="1" s="1"/>
  <c r="I2893" i="1" s="1"/>
  <c r="I2892" i="1" s="1"/>
  <c r="I2891" i="1" s="1"/>
  <c r="I2890" i="1" s="1"/>
  <c r="I2889" i="1" s="1"/>
  <c r="I2888" i="1" s="1"/>
  <c r="I2887" i="1" s="1"/>
  <c r="I2886" i="1" s="1"/>
  <c r="I2885" i="1" s="1"/>
  <c r="I2884" i="1" s="1"/>
  <c r="I2883" i="1" s="1"/>
  <c r="I2882" i="1" s="1"/>
  <c r="I2881" i="1" s="1"/>
  <c r="I2880" i="1" s="1"/>
  <c r="I2879" i="1" s="1"/>
  <c r="I2878" i="1" s="1"/>
  <c r="I2877" i="1" s="1"/>
  <c r="I2876" i="1" s="1"/>
  <c r="I2875" i="1" s="1"/>
  <c r="I2874" i="1" s="1"/>
  <c r="I2873" i="1" s="1"/>
  <c r="I2872" i="1" s="1"/>
  <c r="I2871" i="1" s="1"/>
  <c r="I2870" i="1" s="1"/>
  <c r="I2869" i="1" s="1"/>
  <c r="I2868" i="1" s="1"/>
  <c r="I2867" i="1" s="1"/>
  <c r="I2866" i="1" s="1"/>
  <c r="I2865" i="1" s="1"/>
  <c r="I2864" i="1" s="1"/>
  <c r="I2863" i="1" s="1"/>
  <c r="I2862" i="1" s="1"/>
  <c r="I2861" i="1" s="1"/>
  <c r="I2860" i="1" s="1"/>
  <c r="I2859" i="1" s="1"/>
  <c r="I2858" i="1" s="1"/>
  <c r="I2857" i="1" s="1"/>
  <c r="I2856" i="1" s="1"/>
  <c r="I2855" i="1" s="1"/>
  <c r="I2854" i="1" s="1"/>
  <c r="I2853" i="1" s="1"/>
  <c r="I2852" i="1" s="1"/>
  <c r="I2851" i="1" s="1"/>
  <c r="I2850" i="1" s="1"/>
  <c r="I2849" i="1" s="1"/>
  <c r="I2848" i="1" s="1"/>
  <c r="I2847" i="1" s="1"/>
  <c r="I2846" i="1" s="1"/>
  <c r="I2845" i="1" s="1"/>
  <c r="I2844" i="1" s="1"/>
  <c r="I2843" i="1" s="1"/>
  <c r="I2842" i="1" s="1"/>
  <c r="I2841" i="1" s="1"/>
  <c r="I2840" i="1" s="1"/>
  <c r="I2839" i="1" s="1"/>
  <c r="I2838" i="1" s="1"/>
  <c r="I2837" i="1" s="1"/>
  <c r="I2836" i="1" s="1"/>
  <c r="I2835" i="1" s="1"/>
  <c r="I2834" i="1" s="1"/>
  <c r="I2833" i="1" s="1"/>
  <c r="I2832" i="1" s="1"/>
  <c r="I2831" i="1" s="1"/>
  <c r="I2830" i="1" s="1"/>
  <c r="I2829" i="1" s="1"/>
  <c r="I2828" i="1" s="1"/>
  <c r="I2827" i="1" s="1"/>
  <c r="I2826" i="1" s="1"/>
  <c r="I2825" i="1" s="1"/>
  <c r="I2824" i="1" s="1"/>
  <c r="I2823" i="1" s="1"/>
  <c r="I2822" i="1" s="1"/>
  <c r="I2821" i="1" s="1"/>
  <c r="I2820" i="1" s="1"/>
  <c r="I2819" i="1" s="1"/>
  <c r="I2818" i="1" s="1"/>
  <c r="I2817" i="1" s="1"/>
  <c r="I2816" i="1" s="1"/>
  <c r="I2815" i="1" s="1"/>
  <c r="I2814" i="1" s="1"/>
  <c r="I2813" i="1" s="1"/>
  <c r="I2812" i="1" s="1"/>
  <c r="I2811" i="1" s="1"/>
  <c r="I2810" i="1" s="1"/>
  <c r="I2809" i="1" s="1"/>
  <c r="I2808" i="1" s="1"/>
  <c r="I2807" i="1" s="1"/>
  <c r="I2806" i="1" s="1"/>
  <c r="I2805" i="1" s="1"/>
  <c r="I2804" i="1" s="1"/>
  <c r="I2803" i="1" s="1"/>
  <c r="I2802" i="1" s="1"/>
  <c r="I2801" i="1" s="1"/>
  <c r="I2800" i="1" s="1"/>
  <c r="I2799" i="1" s="1"/>
  <c r="I2798" i="1" s="1"/>
  <c r="I2797" i="1" s="1"/>
  <c r="I2796" i="1" s="1"/>
  <c r="I2795" i="1" s="1"/>
  <c r="I2794" i="1" s="1"/>
  <c r="I2793" i="1" s="1"/>
  <c r="I2792" i="1" s="1"/>
  <c r="I2791" i="1" s="1"/>
  <c r="I2790" i="1" s="1"/>
  <c r="I2789" i="1" s="1"/>
  <c r="I2788" i="1" s="1"/>
  <c r="I2787" i="1" s="1"/>
  <c r="I2786" i="1" s="1"/>
  <c r="I2785" i="1" s="1"/>
  <c r="I2784" i="1" s="1"/>
  <c r="I2783" i="1" s="1"/>
  <c r="I2782" i="1" s="1"/>
  <c r="I2781" i="1" s="1"/>
  <c r="I2780" i="1" s="1"/>
  <c r="I2779" i="1" s="1"/>
  <c r="I2778" i="1" s="1"/>
  <c r="I2777" i="1" s="1"/>
  <c r="I2776" i="1" s="1"/>
  <c r="I2775" i="1" s="1"/>
  <c r="I2774" i="1" s="1"/>
  <c r="I2773" i="1" s="1"/>
  <c r="I2772" i="1" s="1"/>
  <c r="I2771" i="1" s="1"/>
  <c r="I2770" i="1" s="1"/>
  <c r="I2769" i="1" s="1"/>
  <c r="I2768" i="1" s="1"/>
  <c r="I2767" i="1" s="1"/>
  <c r="I2766" i="1" s="1"/>
  <c r="I2765" i="1" s="1"/>
  <c r="I2764" i="1" s="1"/>
  <c r="I2763" i="1" s="1"/>
  <c r="I2762" i="1" s="1"/>
  <c r="I2761" i="1" s="1"/>
  <c r="I2760" i="1" s="1"/>
  <c r="I2759" i="1" s="1"/>
  <c r="I2758" i="1" s="1"/>
  <c r="I2757" i="1" s="1"/>
  <c r="I2756" i="1" s="1"/>
  <c r="I2755" i="1" s="1"/>
  <c r="I2754" i="1" s="1"/>
  <c r="I2753" i="1" s="1"/>
  <c r="I2752" i="1" s="1"/>
  <c r="I2751" i="1" s="1"/>
  <c r="I2750" i="1" s="1"/>
  <c r="I2749" i="1" s="1"/>
  <c r="I2748" i="1" s="1"/>
  <c r="I2747" i="1" s="1"/>
  <c r="I2746" i="1" s="1"/>
  <c r="I2745" i="1" s="1"/>
  <c r="I2744" i="1" s="1"/>
  <c r="I2743" i="1" s="1"/>
  <c r="I2742" i="1" s="1"/>
  <c r="I2741" i="1" s="1"/>
  <c r="I2740" i="1" s="1"/>
  <c r="I2739" i="1" s="1"/>
  <c r="I2738" i="1" s="1"/>
  <c r="I2737" i="1" s="1"/>
  <c r="I2736" i="1" s="1"/>
  <c r="I2735" i="1" s="1"/>
  <c r="I2734" i="1" s="1"/>
  <c r="I2733" i="1" s="1"/>
  <c r="I2732" i="1" s="1"/>
  <c r="I2731" i="1" s="1"/>
  <c r="I2730" i="1" s="1"/>
  <c r="I2729" i="1" s="1"/>
  <c r="I2728" i="1" s="1"/>
  <c r="I2727" i="1" s="1"/>
  <c r="I2726" i="1" s="1"/>
  <c r="I2725" i="1" s="1"/>
  <c r="I2724" i="1" s="1"/>
  <c r="I2723" i="1" s="1"/>
  <c r="I2722" i="1" s="1"/>
  <c r="I2721" i="1" s="1"/>
  <c r="I2720" i="1" s="1"/>
  <c r="I2719" i="1" s="1"/>
  <c r="I2718" i="1" s="1"/>
  <c r="I2717" i="1" s="1"/>
  <c r="I2716" i="1" s="1"/>
  <c r="I2715" i="1" s="1"/>
  <c r="I2714" i="1" s="1"/>
  <c r="I2713" i="1" s="1"/>
  <c r="I2712" i="1" s="1"/>
  <c r="I2711" i="1" s="1"/>
  <c r="I2710" i="1" s="1"/>
  <c r="I2709" i="1" s="1"/>
  <c r="I2708" i="1" s="1"/>
  <c r="I2707" i="1" s="1"/>
  <c r="I2706" i="1" s="1"/>
  <c r="I2705" i="1" s="1"/>
  <c r="I2704" i="1" s="1"/>
  <c r="I2703" i="1" s="1"/>
  <c r="I2702" i="1" s="1"/>
  <c r="I2701" i="1" s="1"/>
  <c r="I2700" i="1" s="1"/>
  <c r="I2699" i="1" s="1"/>
  <c r="I2698" i="1" s="1"/>
  <c r="I2697" i="1" s="1"/>
  <c r="I2696" i="1" s="1"/>
  <c r="I2695" i="1" s="1"/>
  <c r="I2694" i="1" s="1"/>
  <c r="I2693" i="1" s="1"/>
  <c r="I2692" i="1" s="1"/>
  <c r="I2691" i="1" s="1"/>
  <c r="I2690" i="1" s="1"/>
  <c r="I2689" i="1" s="1"/>
  <c r="I2688" i="1" s="1"/>
  <c r="I2687" i="1" s="1"/>
  <c r="I2686" i="1" s="1"/>
  <c r="I2685" i="1" s="1"/>
  <c r="I2684" i="1" s="1"/>
  <c r="I2683" i="1" s="1"/>
  <c r="I2682" i="1" s="1"/>
  <c r="I2681" i="1" s="1"/>
  <c r="I2680" i="1" s="1"/>
  <c r="I2679" i="1" s="1"/>
  <c r="I2678" i="1" s="1"/>
  <c r="I2677" i="1" s="1"/>
  <c r="I2676" i="1" s="1"/>
  <c r="I2675" i="1" s="1"/>
  <c r="I2674" i="1" s="1"/>
  <c r="I2673" i="1" s="1"/>
  <c r="I2672" i="1" s="1"/>
  <c r="I2671" i="1" s="1"/>
  <c r="I2670" i="1" s="1"/>
  <c r="I2669" i="1" s="1"/>
  <c r="I2668" i="1" s="1"/>
  <c r="I2667" i="1" s="1"/>
  <c r="I2666" i="1" s="1"/>
  <c r="I2665" i="1" s="1"/>
  <c r="I2664" i="1" s="1"/>
  <c r="I2663" i="1" s="1"/>
  <c r="I2662" i="1" s="1"/>
  <c r="I2661" i="1" s="1"/>
  <c r="I2660" i="1" s="1"/>
  <c r="I2659" i="1" s="1"/>
  <c r="I2658" i="1" s="1"/>
  <c r="I2657" i="1" s="1"/>
  <c r="I2656" i="1" s="1"/>
  <c r="I2655" i="1" s="1"/>
  <c r="I2654" i="1" s="1"/>
  <c r="I2653" i="1" s="1"/>
  <c r="I2652" i="1" s="1"/>
  <c r="I2651" i="1" s="1"/>
  <c r="I2650" i="1" s="1"/>
  <c r="I2649" i="1" s="1"/>
  <c r="I2648" i="1" s="1"/>
  <c r="I2977" i="1"/>
  <c r="I2978" i="1"/>
  <c r="I2979" i="1"/>
  <c r="I2980" i="1"/>
  <c r="I3276" i="1"/>
  <c r="I3275" i="1" s="1"/>
  <c r="I3274" i="1" s="1"/>
  <c r="I3273" i="1" s="1"/>
  <c r="I3272" i="1" s="1"/>
  <c r="I3271" i="1" s="1"/>
  <c r="I3270" i="1" s="1"/>
  <c r="I3269" i="1" s="1"/>
  <c r="I3268" i="1" s="1"/>
  <c r="I3267" i="1" s="1"/>
  <c r="I3266" i="1" s="1"/>
  <c r="I3265" i="1" s="1"/>
  <c r="I3264" i="1" s="1"/>
  <c r="I3263" i="1" s="1"/>
  <c r="I3262" i="1" s="1"/>
  <c r="I3261" i="1" s="1"/>
  <c r="I3260" i="1" s="1"/>
  <c r="I3259" i="1" s="1"/>
  <c r="I3258" i="1" s="1"/>
  <c r="I3257" i="1" s="1"/>
  <c r="I3256" i="1" s="1"/>
  <c r="I3255" i="1" s="1"/>
  <c r="I3254" i="1" s="1"/>
  <c r="I3253" i="1" s="1"/>
  <c r="I3252" i="1" s="1"/>
  <c r="I3251" i="1" s="1"/>
  <c r="I3250" i="1" s="1"/>
  <c r="I3249" i="1" s="1"/>
  <c r="I3248" i="1" s="1"/>
  <c r="I3247" i="1" s="1"/>
  <c r="I3246" i="1" s="1"/>
  <c r="I3245" i="1" s="1"/>
  <c r="I3244" i="1" s="1"/>
  <c r="I3243" i="1" s="1"/>
  <c r="I3242" i="1" s="1"/>
  <c r="I3241" i="1" s="1"/>
  <c r="I3240" i="1" s="1"/>
  <c r="I3239" i="1" s="1"/>
  <c r="I3238" i="1" s="1"/>
  <c r="I3237" i="1" s="1"/>
  <c r="I3236" i="1" s="1"/>
  <c r="I3235" i="1" s="1"/>
  <c r="I3234" i="1" s="1"/>
  <c r="I3233" i="1" s="1"/>
  <c r="I3232" i="1" s="1"/>
  <c r="I3231" i="1" s="1"/>
  <c r="I3230" i="1" s="1"/>
  <c r="I3229" i="1" s="1"/>
  <c r="I3228" i="1" s="1"/>
  <c r="I3227" i="1" s="1"/>
  <c r="I3226" i="1" s="1"/>
  <c r="I3225" i="1" s="1"/>
  <c r="I3224" i="1" s="1"/>
  <c r="I3223" i="1" s="1"/>
  <c r="I3222" i="1" s="1"/>
  <c r="I3221" i="1" s="1"/>
  <c r="I3220" i="1" s="1"/>
  <c r="I3219" i="1" s="1"/>
  <c r="I3218" i="1" s="1"/>
  <c r="I3217" i="1" s="1"/>
  <c r="I3216" i="1" s="1"/>
  <c r="I3215" i="1" s="1"/>
  <c r="I3214" i="1" s="1"/>
  <c r="I3213" i="1" s="1"/>
  <c r="I3212" i="1" s="1"/>
  <c r="I3211" i="1" s="1"/>
  <c r="I3210" i="1" s="1"/>
  <c r="I3209" i="1" s="1"/>
  <c r="I3208" i="1" s="1"/>
  <c r="I3207" i="1" s="1"/>
  <c r="I3206" i="1" s="1"/>
  <c r="I3205" i="1" s="1"/>
  <c r="I3204" i="1" s="1"/>
  <c r="I3203" i="1" s="1"/>
  <c r="I3202" i="1" s="1"/>
  <c r="I3201" i="1" s="1"/>
  <c r="I3200" i="1" s="1"/>
  <c r="I3199" i="1" s="1"/>
  <c r="I3198" i="1" s="1"/>
  <c r="I3197" i="1" s="1"/>
  <c r="I3196" i="1" s="1"/>
  <c r="I3195" i="1" s="1"/>
  <c r="I3194" i="1" s="1"/>
  <c r="I3193" i="1" s="1"/>
  <c r="I3192" i="1" s="1"/>
  <c r="I3191" i="1" s="1"/>
  <c r="I3190" i="1" s="1"/>
  <c r="I3189" i="1" s="1"/>
  <c r="I3188" i="1" s="1"/>
  <c r="I3187" i="1" s="1"/>
  <c r="I3186" i="1" s="1"/>
  <c r="I3185" i="1" s="1"/>
  <c r="I3184" i="1" s="1"/>
  <c r="I3183" i="1" s="1"/>
  <c r="I3182" i="1" s="1"/>
  <c r="I3181" i="1" s="1"/>
  <c r="I3180" i="1" s="1"/>
  <c r="I3179" i="1" s="1"/>
  <c r="I3178" i="1" s="1"/>
  <c r="I3177" i="1" s="1"/>
  <c r="I3176" i="1" s="1"/>
  <c r="I3175" i="1" s="1"/>
  <c r="I3174" i="1" s="1"/>
  <c r="I3173" i="1" s="1"/>
  <c r="I3172" i="1" s="1"/>
  <c r="I3171" i="1" s="1"/>
  <c r="I3170" i="1" s="1"/>
  <c r="I3169" i="1" s="1"/>
  <c r="I3168" i="1" s="1"/>
  <c r="I3167" i="1" s="1"/>
  <c r="I3166" i="1" s="1"/>
  <c r="I3165" i="1" s="1"/>
  <c r="I3164" i="1" s="1"/>
  <c r="I3163" i="1" s="1"/>
  <c r="I3162" i="1" s="1"/>
  <c r="I3161" i="1" s="1"/>
  <c r="I3160" i="1" s="1"/>
  <c r="I3159" i="1" s="1"/>
  <c r="I3158" i="1" s="1"/>
  <c r="I3157" i="1" s="1"/>
  <c r="I3156" i="1" s="1"/>
  <c r="I3155" i="1" s="1"/>
  <c r="I3154" i="1" s="1"/>
  <c r="I3153" i="1" s="1"/>
  <c r="I3152" i="1" s="1"/>
  <c r="I3151" i="1" s="1"/>
  <c r="I3150" i="1" s="1"/>
  <c r="I3149" i="1" s="1"/>
  <c r="I3148" i="1" s="1"/>
  <c r="I3147" i="1" s="1"/>
  <c r="I3146" i="1" s="1"/>
  <c r="I3145" i="1" s="1"/>
  <c r="I3144" i="1" s="1"/>
  <c r="I3143" i="1" s="1"/>
  <c r="I3142" i="1" s="1"/>
  <c r="I3141" i="1" s="1"/>
  <c r="I3140" i="1" s="1"/>
  <c r="I3139" i="1" s="1"/>
  <c r="I3138" i="1" s="1"/>
  <c r="I3137" i="1" s="1"/>
  <c r="I3136" i="1" s="1"/>
  <c r="I3135" i="1" s="1"/>
  <c r="I3134" i="1" s="1"/>
  <c r="I3133" i="1" s="1"/>
  <c r="I3132" i="1" s="1"/>
  <c r="I3131" i="1" s="1"/>
  <c r="I3130" i="1" s="1"/>
  <c r="I3129" i="1" s="1"/>
  <c r="I3128" i="1" s="1"/>
  <c r="I3127" i="1" s="1"/>
  <c r="I3126" i="1" s="1"/>
  <c r="I3125" i="1" s="1"/>
  <c r="I3124" i="1" s="1"/>
  <c r="I3123" i="1" s="1"/>
  <c r="I3122" i="1" s="1"/>
  <c r="I3121" i="1" s="1"/>
  <c r="I3120" i="1" s="1"/>
  <c r="I3119" i="1" s="1"/>
  <c r="I3118" i="1" s="1"/>
  <c r="I3117" i="1" s="1"/>
  <c r="I3116" i="1" s="1"/>
  <c r="I3115" i="1" s="1"/>
  <c r="I3114" i="1" s="1"/>
  <c r="I3113" i="1" s="1"/>
  <c r="I3112" i="1" s="1"/>
  <c r="I3111" i="1" s="1"/>
  <c r="I3110" i="1" s="1"/>
  <c r="I3109" i="1" s="1"/>
  <c r="I3108" i="1" s="1"/>
  <c r="I3107" i="1" s="1"/>
  <c r="I3106" i="1" s="1"/>
  <c r="I3105" i="1" s="1"/>
  <c r="I3104" i="1" s="1"/>
  <c r="I3103" i="1" s="1"/>
  <c r="I3102" i="1" s="1"/>
  <c r="I3101" i="1" s="1"/>
  <c r="I3100" i="1" s="1"/>
  <c r="I3099" i="1" s="1"/>
  <c r="I3098" i="1" s="1"/>
  <c r="I3097" i="1" s="1"/>
  <c r="I3096" i="1" s="1"/>
  <c r="I3095" i="1" s="1"/>
  <c r="I3094" i="1" s="1"/>
  <c r="I3093" i="1" s="1"/>
  <c r="I3092" i="1" s="1"/>
  <c r="I3091" i="1" s="1"/>
  <c r="I3090" i="1" s="1"/>
  <c r="I3089" i="1" s="1"/>
  <c r="I3088" i="1" s="1"/>
  <c r="I3087" i="1" s="1"/>
  <c r="I3086" i="1" s="1"/>
  <c r="I3085" i="1" s="1"/>
  <c r="I3084" i="1" s="1"/>
  <c r="I3083" i="1" s="1"/>
  <c r="I3082" i="1" s="1"/>
  <c r="I3081" i="1" s="1"/>
  <c r="I3080" i="1" s="1"/>
  <c r="I3079" i="1" s="1"/>
  <c r="I3078" i="1" s="1"/>
  <c r="I3077" i="1" s="1"/>
  <c r="I3076" i="1" s="1"/>
  <c r="I3075" i="1" s="1"/>
  <c r="I3074" i="1" s="1"/>
  <c r="I3073" i="1" s="1"/>
  <c r="I3072" i="1" s="1"/>
  <c r="I3071" i="1" s="1"/>
  <c r="I3070" i="1" s="1"/>
  <c r="I3069" i="1" s="1"/>
  <c r="I3068" i="1" s="1"/>
  <c r="I3067" i="1" s="1"/>
  <c r="I3066" i="1" s="1"/>
  <c r="I3065" i="1" s="1"/>
  <c r="I3064" i="1" s="1"/>
  <c r="I3063" i="1" s="1"/>
  <c r="I3062" i="1" s="1"/>
  <c r="I3061" i="1" s="1"/>
  <c r="I3060" i="1" s="1"/>
  <c r="I3059" i="1" s="1"/>
  <c r="I3058" i="1" s="1"/>
  <c r="I3057" i="1" s="1"/>
  <c r="I3056" i="1" s="1"/>
  <c r="I3055" i="1" s="1"/>
  <c r="I3054" i="1" s="1"/>
  <c r="I3053" i="1" s="1"/>
  <c r="I3052" i="1" s="1"/>
  <c r="I3051" i="1" s="1"/>
  <c r="I3050" i="1" s="1"/>
  <c r="I3049" i="1" s="1"/>
  <c r="I3048" i="1" s="1"/>
  <c r="I3047" i="1" s="1"/>
  <c r="I3046" i="1" s="1"/>
  <c r="I3045" i="1" s="1"/>
  <c r="I3044" i="1" s="1"/>
  <c r="I3043" i="1" s="1"/>
  <c r="I3042" i="1" s="1"/>
  <c r="I3041" i="1" s="1"/>
  <c r="I3040" i="1" s="1"/>
  <c r="I3039" i="1" s="1"/>
  <c r="I3038" i="1" s="1"/>
  <c r="I3037" i="1" s="1"/>
  <c r="I3036" i="1" s="1"/>
  <c r="I3035" i="1" s="1"/>
  <c r="I3034" i="1" s="1"/>
  <c r="I3033" i="1" s="1"/>
  <c r="I3032" i="1" s="1"/>
  <c r="I3031" i="1" s="1"/>
  <c r="I3030" i="1" s="1"/>
  <c r="I3029" i="1" s="1"/>
  <c r="I3028" i="1" s="1"/>
  <c r="I3027" i="1" s="1"/>
  <c r="I3026" i="1" s="1"/>
  <c r="I3025" i="1" s="1"/>
  <c r="I3024" i="1" s="1"/>
  <c r="I3023" i="1" s="1"/>
  <c r="I3022" i="1" s="1"/>
  <c r="I3021" i="1" s="1"/>
  <c r="I3020" i="1" s="1"/>
  <c r="I3019" i="1" s="1"/>
  <c r="I3018" i="1" s="1"/>
  <c r="I3017" i="1" s="1"/>
  <c r="I3016" i="1" s="1"/>
  <c r="I3015" i="1" s="1"/>
  <c r="I3014" i="1" s="1"/>
  <c r="I3013" i="1" s="1"/>
  <c r="I3012" i="1" s="1"/>
  <c r="I3011" i="1" s="1"/>
  <c r="I3010" i="1" s="1"/>
  <c r="I3009" i="1" s="1"/>
  <c r="I3008" i="1" s="1"/>
  <c r="I3007" i="1" s="1"/>
  <c r="I3006" i="1" s="1"/>
  <c r="I3005" i="1" s="1"/>
  <c r="I3004" i="1" s="1"/>
  <c r="I3003" i="1" s="1"/>
  <c r="I3002" i="1" s="1"/>
  <c r="I3001" i="1" s="1"/>
  <c r="I3000" i="1" s="1"/>
  <c r="I2999" i="1" s="1"/>
  <c r="I2998" i="1" s="1"/>
  <c r="I2997" i="1" s="1"/>
  <c r="I2996" i="1" s="1"/>
  <c r="I2995" i="1" s="1"/>
  <c r="I2994" i="1" s="1"/>
  <c r="I2993" i="1" s="1"/>
  <c r="I2992" i="1" s="1"/>
  <c r="I2991" i="1" s="1"/>
  <c r="I2990" i="1" s="1"/>
  <c r="I2989" i="1" s="1"/>
  <c r="I2988" i="1" s="1"/>
  <c r="I2987" i="1" s="1"/>
  <c r="I2986" i="1" s="1"/>
  <c r="I2985" i="1" s="1"/>
  <c r="I2984" i="1" s="1"/>
  <c r="I2983" i="1" s="1"/>
  <c r="I3277" i="1"/>
  <c r="I3278" i="1"/>
  <c r="I3279" i="1"/>
  <c r="J22" i="1" l="1"/>
  <c r="I3535" i="1" l="1"/>
  <c r="I3534" i="1"/>
  <c r="I3533" i="1"/>
  <c r="I3532" i="1" s="1"/>
  <c r="I3531" i="1" s="1"/>
  <c r="I3530" i="1" s="1"/>
  <c r="I3529" i="1" s="1"/>
  <c r="I3528" i="1" s="1"/>
  <c r="I3527" i="1" s="1"/>
  <c r="I3526" i="1" s="1"/>
  <c r="I3525" i="1" s="1"/>
  <c r="I3524" i="1" s="1"/>
  <c r="I3523" i="1" s="1"/>
  <c r="I3522" i="1" s="1"/>
  <c r="I3521" i="1" s="1"/>
  <c r="I3520" i="1" s="1"/>
  <c r="I3519" i="1" s="1"/>
  <c r="I3518" i="1" s="1"/>
  <c r="I3517" i="1" s="1"/>
  <c r="I3516" i="1" s="1"/>
  <c r="I3515" i="1" s="1"/>
  <c r="I3514" i="1" s="1"/>
  <c r="I3513" i="1" s="1"/>
  <c r="I3512" i="1" s="1"/>
  <c r="I3511" i="1" s="1"/>
  <c r="I3510" i="1" s="1"/>
  <c r="I3509" i="1" s="1"/>
  <c r="I3508" i="1" s="1"/>
  <c r="I3507" i="1" s="1"/>
  <c r="I3506" i="1" s="1"/>
  <c r="I3505" i="1" s="1"/>
  <c r="I3504" i="1" s="1"/>
  <c r="I3503" i="1" s="1"/>
  <c r="I3502" i="1" s="1"/>
  <c r="I3501" i="1" s="1"/>
  <c r="I3500" i="1" s="1"/>
  <c r="I3499" i="1" s="1"/>
  <c r="I3498" i="1" s="1"/>
  <c r="I3497" i="1" s="1"/>
  <c r="I3496" i="1" s="1"/>
  <c r="I3495" i="1" s="1"/>
  <c r="I3494" i="1" s="1"/>
  <c r="I3493" i="1" s="1"/>
  <c r="I3492" i="1" s="1"/>
  <c r="I3491" i="1" s="1"/>
  <c r="I3490" i="1" s="1"/>
  <c r="I3489" i="1" s="1"/>
  <c r="I3488" i="1" s="1"/>
  <c r="I3487" i="1" s="1"/>
  <c r="I3486" i="1" s="1"/>
  <c r="I3485" i="1" s="1"/>
  <c r="I3484" i="1" s="1"/>
  <c r="I3483" i="1" s="1"/>
  <c r="I3482" i="1" s="1"/>
  <c r="I3481" i="1" s="1"/>
  <c r="I3480" i="1" s="1"/>
  <c r="I3479" i="1" s="1"/>
  <c r="I3478" i="1" s="1"/>
  <c r="I3477" i="1" s="1"/>
  <c r="I3476" i="1" s="1"/>
  <c r="I3475" i="1" s="1"/>
  <c r="I3474" i="1" s="1"/>
  <c r="I3473" i="1" s="1"/>
  <c r="I3472" i="1" s="1"/>
  <c r="I3471" i="1" s="1"/>
  <c r="I3470" i="1" s="1"/>
  <c r="I3469" i="1" s="1"/>
  <c r="I3468" i="1" s="1"/>
  <c r="I3467" i="1" s="1"/>
  <c r="I3466" i="1" s="1"/>
  <c r="I3465" i="1" s="1"/>
  <c r="I3464" i="1" s="1"/>
  <c r="I3463" i="1" s="1"/>
  <c r="I3462" i="1" s="1"/>
  <c r="I3461" i="1" s="1"/>
  <c r="I3460" i="1" s="1"/>
  <c r="I3459" i="1" s="1"/>
  <c r="I3458" i="1" s="1"/>
  <c r="I3457" i="1" s="1"/>
  <c r="I3456" i="1" s="1"/>
  <c r="I3455" i="1" s="1"/>
  <c r="I3454" i="1" s="1"/>
  <c r="I3453" i="1" s="1"/>
  <c r="I3452" i="1" s="1"/>
  <c r="I3451" i="1" s="1"/>
  <c r="I3450" i="1" s="1"/>
  <c r="I3449" i="1" s="1"/>
  <c r="I3448" i="1" s="1"/>
  <c r="I3447" i="1" s="1"/>
  <c r="I3446" i="1" s="1"/>
  <c r="I3445" i="1" s="1"/>
  <c r="I3444" i="1" s="1"/>
  <c r="I3443" i="1" s="1"/>
  <c r="I3442" i="1" s="1"/>
  <c r="I3441" i="1" s="1"/>
  <c r="I3440" i="1" s="1"/>
  <c r="I3439" i="1" s="1"/>
  <c r="I3438" i="1" s="1"/>
  <c r="I3437" i="1" s="1"/>
  <c r="I3436" i="1" s="1"/>
  <c r="I3435" i="1" s="1"/>
  <c r="I3434" i="1" s="1"/>
  <c r="I3433" i="1" s="1"/>
  <c r="I3432" i="1" s="1"/>
  <c r="I3431" i="1" s="1"/>
  <c r="I3430" i="1" s="1"/>
  <c r="I3429" i="1" s="1"/>
  <c r="I3428" i="1" s="1"/>
  <c r="I3427" i="1" s="1"/>
  <c r="I3426" i="1" s="1"/>
  <c r="I3425" i="1" s="1"/>
  <c r="I3424" i="1" s="1"/>
  <c r="I3423" i="1" s="1"/>
  <c r="I3422" i="1" s="1"/>
  <c r="I3421" i="1" s="1"/>
  <c r="I3420" i="1" s="1"/>
  <c r="I3419" i="1" s="1"/>
  <c r="I3418" i="1" s="1"/>
  <c r="I3417" i="1" s="1"/>
  <c r="I3416" i="1" s="1"/>
  <c r="I3415" i="1" s="1"/>
  <c r="I3414" i="1" s="1"/>
  <c r="I3413" i="1" s="1"/>
  <c r="I3412" i="1" s="1"/>
  <c r="I3411" i="1" s="1"/>
  <c r="I3410" i="1" s="1"/>
  <c r="I3409" i="1" s="1"/>
  <c r="I3408" i="1" s="1"/>
  <c r="I3407" i="1" s="1"/>
  <c r="I3406" i="1" s="1"/>
  <c r="I3405" i="1" s="1"/>
  <c r="I3404" i="1" s="1"/>
  <c r="I3403" i="1" s="1"/>
  <c r="I3402" i="1" s="1"/>
  <c r="I3401" i="1" s="1"/>
  <c r="I3400" i="1" s="1"/>
  <c r="I3399" i="1" s="1"/>
  <c r="I3398" i="1" s="1"/>
  <c r="I3397" i="1" s="1"/>
  <c r="I3396" i="1" s="1"/>
  <c r="I3395" i="1" s="1"/>
  <c r="I3394" i="1" s="1"/>
  <c r="I3393" i="1" s="1"/>
  <c r="I3392" i="1" s="1"/>
  <c r="I3391" i="1" s="1"/>
  <c r="I3390" i="1" s="1"/>
  <c r="I3389" i="1" s="1"/>
  <c r="I3388" i="1" s="1"/>
  <c r="I3387" i="1" s="1"/>
  <c r="I3386" i="1" s="1"/>
  <c r="I3385" i="1" s="1"/>
  <c r="I3384" i="1" s="1"/>
  <c r="I3383" i="1" s="1"/>
  <c r="I3382" i="1" s="1"/>
  <c r="I3381" i="1" s="1"/>
  <c r="I3380" i="1" s="1"/>
  <c r="I3379" i="1" s="1"/>
  <c r="I3378" i="1" s="1"/>
  <c r="I3377" i="1" s="1"/>
  <c r="I3376" i="1" s="1"/>
  <c r="I3375" i="1" s="1"/>
  <c r="I3374" i="1" s="1"/>
  <c r="I3373" i="1" s="1"/>
  <c r="I3372" i="1" s="1"/>
  <c r="I3371" i="1" s="1"/>
  <c r="I3370" i="1" s="1"/>
  <c r="I3369" i="1" s="1"/>
  <c r="I3368" i="1" s="1"/>
  <c r="I3367" i="1" s="1"/>
  <c r="I3366" i="1" s="1"/>
  <c r="I3365" i="1" s="1"/>
  <c r="I3364" i="1" s="1"/>
  <c r="I3363" i="1" s="1"/>
  <c r="I3362" i="1" s="1"/>
  <c r="I3361" i="1" s="1"/>
  <c r="I3360" i="1" s="1"/>
  <c r="I3359" i="1" s="1"/>
  <c r="I3358" i="1" s="1"/>
  <c r="I3357" i="1" s="1"/>
  <c r="I3356" i="1" s="1"/>
  <c r="I3355" i="1" s="1"/>
  <c r="I3354" i="1" s="1"/>
  <c r="I3353" i="1" s="1"/>
  <c r="I3352" i="1" s="1"/>
  <c r="I3351" i="1" s="1"/>
  <c r="I3350" i="1" s="1"/>
  <c r="I3349" i="1" s="1"/>
  <c r="I3348" i="1" s="1"/>
  <c r="I3347" i="1" s="1"/>
  <c r="I3346" i="1" s="1"/>
  <c r="I3345" i="1" s="1"/>
  <c r="I3344" i="1" s="1"/>
  <c r="I3343" i="1" s="1"/>
  <c r="I3342" i="1" s="1"/>
  <c r="I3341" i="1" s="1"/>
  <c r="I3340" i="1" s="1"/>
  <c r="I3339" i="1" s="1"/>
  <c r="I3338" i="1" s="1"/>
  <c r="I3337" i="1" s="1"/>
  <c r="I3336" i="1" s="1"/>
  <c r="I3335" i="1" s="1"/>
  <c r="I3334" i="1" s="1"/>
  <c r="I3333" i="1" s="1"/>
  <c r="I3332" i="1" s="1"/>
  <c r="I3331" i="1" s="1"/>
  <c r="I3330" i="1" s="1"/>
  <c r="I3329" i="1" s="1"/>
  <c r="I3328" i="1" s="1"/>
  <c r="I3327" i="1" s="1"/>
  <c r="I3326" i="1" s="1"/>
  <c r="I3325" i="1" s="1"/>
  <c r="I3324" i="1" s="1"/>
  <c r="I3323" i="1" s="1"/>
  <c r="I3322" i="1" s="1"/>
  <c r="I3321" i="1" s="1"/>
  <c r="I3320" i="1" s="1"/>
  <c r="I3319" i="1" s="1"/>
  <c r="I3318" i="1" s="1"/>
  <c r="I3317" i="1" s="1"/>
  <c r="I3316" i="1" s="1"/>
  <c r="I3315" i="1" s="1"/>
  <c r="I3314" i="1" s="1"/>
  <c r="I3313" i="1" s="1"/>
  <c r="I3312" i="1" s="1"/>
  <c r="I3311" i="1" s="1"/>
  <c r="I3310" i="1" s="1"/>
  <c r="I3309" i="1" s="1"/>
  <c r="I3308" i="1" s="1"/>
  <c r="I3307" i="1" s="1"/>
  <c r="I3306" i="1" s="1"/>
  <c r="I3305" i="1" s="1"/>
  <c r="I3304" i="1" s="1"/>
  <c r="I3303" i="1" s="1"/>
  <c r="I3302" i="1" s="1"/>
  <c r="I3301" i="1" s="1"/>
  <c r="I3300" i="1" s="1"/>
  <c r="I3299" i="1" s="1"/>
  <c r="I3298" i="1" s="1"/>
  <c r="I3297" i="1" s="1"/>
  <c r="I3296" i="1" s="1"/>
  <c r="I3295" i="1" s="1"/>
  <c r="I3294" i="1" s="1"/>
  <c r="I3293" i="1" s="1"/>
  <c r="I3292" i="1" s="1"/>
  <c r="I3291" i="1" s="1"/>
  <c r="I3290" i="1" s="1"/>
  <c r="I3289" i="1" s="1"/>
  <c r="I3288" i="1" s="1"/>
  <c r="I3287" i="1" s="1"/>
  <c r="I3286" i="1" s="1"/>
  <c r="I3285" i="1" s="1"/>
  <c r="I3284" i="1" s="1"/>
  <c r="I3283" i="1" s="1"/>
  <c r="I3282" i="1" s="1"/>
  <c r="I3536" i="1"/>
  <c r="I3537" i="1"/>
  <c r="I3538" i="1"/>
  <c r="I3539" i="1"/>
  <c r="J1989" i="1"/>
  <c r="J3538" i="1"/>
  <c r="J3537" i="1" s="1"/>
  <c r="J3536" i="1" s="1"/>
  <c r="J3535" i="1" s="1"/>
  <c r="J3534" i="1" s="1"/>
  <c r="J3533" i="1" s="1"/>
  <c r="J3532" i="1" s="1"/>
  <c r="J3531" i="1" s="1"/>
  <c r="J3530" i="1" s="1"/>
  <c r="J3529" i="1" s="1"/>
  <c r="J3528" i="1" s="1"/>
  <c r="J3527" i="1" s="1"/>
  <c r="J3526" i="1" s="1"/>
  <c r="J3525" i="1" s="1"/>
  <c r="J3524" i="1" s="1"/>
  <c r="J3523" i="1" s="1"/>
  <c r="J3522" i="1" s="1"/>
  <c r="J3521" i="1" s="1"/>
  <c r="J3520" i="1" s="1"/>
  <c r="J3519" i="1" s="1"/>
  <c r="J3518" i="1" s="1"/>
  <c r="J3517" i="1" s="1"/>
  <c r="J3516" i="1" s="1"/>
  <c r="J3515" i="1" s="1"/>
  <c r="J3514" i="1" s="1"/>
  <c r="J3513" i="1" s="1"/>
  <c r="J3512" i="1" s="1"/>
  <c r="J3511" i="1" s="1"/>
  <c r="J3510" i="1" s="1"/>
  <c r="J3509" i="1" s="1"/>
  <c r="J3508" i="1" s="1"/>
  <c r="J3507" i="1" s="1"/>
  <c r="J3506" i="1" s="1"/>
  <c r="J3505" i="1" s="1"/>
  <c r="J3504" i="1" s="1"/>
  <c r="J3503" i="1" s="1"/>
  <c r="J3502" i="1" s="1"/>
  <c r="J3501" i="1" s="1"/>
  <c r="J3500" i="1" s="1"/>
  <c r="J3499" i="1" s="1"/>
  <c r="J3498" i="1" s="1"/>
  <c r="J3497" i="1" s="1"/>
  <c r="J3496" i="1" s="1"/>
  <c r="J3495" i="1" s="1"/>
  <c r="J3494" i="1" s="1"/>
  <c r="J3493" i="1" s="1"/>
  <c r="J3492" i="1" s="1"/>
  <c r="J3491" i="1" s="1"/>
  <c r="J3490" i="1" s="1"/>
  <c r="J3489" i="1" s="1"/>
  <c r="J3488" i="1" s="1"/>
  <c r="J3487" i="1" s="1"/>
  <c r="J3486" i="1" s="1"/>
  <c r="J3485" i="1" s="1"/>
  <c r="J3484" i="1" s="1"/>
  <c r="J3483" i="1" s="1"/>
  <c r="J3482" i="1" s="1"/>
  <c r="J3481" i="1" s="1"/>
  <c r="J3480" i="1" s="1"/>
  <c r="J3479" i="1" s="1"/>
  <c r="J3478" i="1" s="1"/>
  <c r="J3477" i="1" s="1"/>
  <c r="J3476" i="1" s="1"/>
  <c r="J3475" i="1" s="1"/>
  <c r="J3474" i="1" s="1"/>
  <c r="J3473" i="1" s="1"/>
  <c r="J3472" i="1" s="1"/>
  <c r="J3471" i="1" s="1"/>
  <c r="J3470" i="1" s="1"/>
  <c r="J3469" i="1" s="1"/>
  <c r="J3468" i="1" s="1"/>
  <c r="J3467" i="1" s="1"/>
  <c r="J3466" i="1" s="1"/>
  <c r="J3465" i="1" s="1"/>
  <c r="J3464" i="1" s="1"/>
  <c r="J3463" i="1" s="1"/>
  <c r="J3462" i="1" s="1"/>
  <c r="J3461" i="1" s="1"/>
  <c r="J3460" i="1" s="1"/>
  <c r="J3459" i="1" s="1"/>
  <c r="J3458" i="1" s="1"/>
  <c r="J3457" i="1" s="1"/>
  <c r="J3456" i="1" s="1"/>
  <c r="J3455" i="1" s="1"/>
  <c r="J3454" i="1" s="1"/>
  <c r="J3453" i="1" s="1"/>
  <c r="J3452" i="1" s="1"/>
  <c r="J3451" i="1" s="1"/>
  <c r="J3450" i="1" s="1"/>
  <c r="J3449" i="1" s="1"/>
  <c r="J3448" i="1" s="1"/>
  <c r="J3447" i="1" s="1"/>
  <c r="J3446" i="1" s="1"/>
  <c r="J3445" i="1" s="1"/>
  <c r="J3444" i="1" s="1"/>
  <c r="J3443" i="1" s="1"/>
  <c r="J3442" i="1" s="1"/>
  <c r="J3441" i="1" s="1"/>
  <c r="J3440" i="1" s="1"/>
  <c r="J3439" i="1" s="1"/>
  <c r="J3438" i="1" s="1"/>
  <c r="J3437" i="1" s="1"/>
  <c r="J3436" i="1" s="1"/>
  <c r="J3435" i="1" s="1"/>
  <c r="J3434" i="1" s="1"/>
  <c r="J3433" i="1" s="1"/>
  <c r="J3432" i="1" s="1"/>
  <c r="J3431" i="1" s="1"/>
  <c r="J3430" i="1" s="1"/>
  <c r="J3429" i="1" s="1"/>
  <c r="J3428" i="1" s="1"/>
  <c r="J3427" i="1" s="1"/>
  <c r="J3426" i="1" s="1"/>
  <c r="J3425" i="1" s="1"/>
  <c r="J3424" i="1" s="1"/>
  <c r="J3423" i="1" s="1"/>
  <c r="J3422" i="1" s="1"/>
  <c r="J3421" i="1" s="1"/>
  <c r="J3420" i="1" s="1"/>
  <c r="J3419" i="1" s="1"/>
  <c r="J3418" i="1" s="1"/>
  <c r="J3417" i="1" s="1"/>
  <c r="J3416" i="1" s="1"/>
  <c r="J3415" i="1" s="1"/>
  <c r="J3414" i="1" s="1"/>
  <c r="J3413" i="1" s="1"/>
  <c r="J3412" i="1" s="1"/>
  <c r="J3411" i="1" s="1"/>
  <c r="J3410" i="1" s="1"/>
  <c r="J3409" i="1" s="1"/>
  <c r="J3408" i="1" s="1"/>
  <c r="J3407" i="1" s="1"/>
  <c r="J3406" i="1" s="1"/>
  <c r="J3405" i="1" s="1"/>
  <c r="J3404" i="1" s="1"/>
  <c r="J3403" i="1" s="1"/>
  <c r="J3402" i="1" s="1"/>
  <c r="J3401" i="1" s="1"/>
  <c r="J3400" i="1" s="1"/>
  <c r="J3399" i="1" s="1"/>
  <c r="J3398" i="1" s="1"/>
  <c r="J3397" i="1" s="1"/>
  <c r="J3396" i="1" s="1"/>
  <c r="J3395" i="1" s="1"/>
  <c r="J3394" i="1" s="1"/>
  <c r="J3393" i="1" s="1"/>
  <c r="J3392" i="1" s="1"/>
  <c r="J3391" i="1" s="1"/>
  <c r="J3390" i="1" s="1"/>
  <c r="J3389" i="1" s="1"/>
  <c r="J3388" i="1" s="1"/>
  <c r="J3387" i="1" s="1"/>
  <c r="J3386" i="1" s="1"/>
  <c r="J3385" i="1" s="1"/>
  <c r="J3384" i="1" s="1"/>
  <c r="J3383" i="1" s="1"/>
  <c r="J3382" i="1" s="1"/>
  <c r="J3381" i="1" s="1"/>
  <c r="J3380" i="1" s="1"/>
  <c r="J3379" i="1" s="1"/>
  <c r="J3378" i="1" s="1"/>
  <c r="J3377" i="1" s="1"/>
  <c r="J3376" i="1" s="1"/>
  <c r="J3375" i="1" s="1"/>
  <c r="J3374" i="1" s="1"/>
  <c r="J3373" i="1" s="1"/>
  <c r="J3372" i="1" s="1"/>
  <c r="J3371" i="1" s="1"/>
  <c r="J3370" i="1" s="1"/>
  <c r="J3369" i="1" s="1"/>
  <c r="J3368" i="1" s="1"/>
  <c r="J3367" i="1" s="1"/>
  <c r="J3366" i="1" s="1"/>
  <c r="J3365" i="1" s="1"/>
  <c r="J3364" i="1" s="1"/>
  <c r="J3363" i="1" s="1"/>
  <c r="J3362" i="1" s="1"/>
  <c r="J3361" i="1" s="1"/>
  <c r="J3360" i="1" s="1"/>
  <c r="J3359" i="1" s="1"/>
  <c r="J3358" i="1" s="1"/>
  <c r="J3357" i="1" s="1"/>
  <c r="J3356" i="1" s="1"/>
  <c r="J3355" i="1" s="1"/>
  <c r="J3354" i="1" s="1"/>
  <c r="J3353" i="1" s="1"/>
  <c r="J3352" i="1" s="1"/>
  <c r="J3351" i="1" s="1"/>
  <c r="J3350" i="1" s="1"/>
  <c r="J3349" i="1" s="1"/>
  <c r="J3348" i="1" s="1"/>
  <c r="J3347" i="1" s="1"/>
  <c r="J3346" i="1" s="1"/>
  <c r="J3345" i="1" s="1"/>
  <c r="J3344" i="1" s="1"/>
  <c r="J3343" i="1" s="1"/>
  <c r="J3342" i="1" s="1"/>
  <c r="J3341" i="1" s="1"/>
  <c r="J3340" i="1" s="1"/>
  <c r="J3339" i="1" s="1"/>
  <c r="J3338" i="1" s="1"/>
  <c r="J3337" i="1" s="1"/>
  <c r="J3336" i="1" s="1"/>
  <c r="J3335" i="1" s="1"/>
  <c r="J3334" i="1" s="1"/>
  <c r="J3333" i="1" s="1"/>
  <c r="J3332" i="1" s="1"/>
  <c r="J3331" i="1" s="1"/>
  <c r="J3330" i="1" s="1"/>
  <c r="J3329" i="1" s="1"/>
  <c r="J3328" i="1" s="1"/>
  <c r="J3327" i="1" s="1"/>
  <c r="J3326" i="1" s="1"/>
  <c r="J3325" i="1" s="1"/>
  <c r="J3324" i="1" s="1"/>
  <c r="J3323" i="1" s="1"/>
  <c r="J3322" i="1" s="1"/>
  <c r="J3321" i="1" s="1"/>
  <c r="J3320" i="1" s="1"/>
  <c r="J3319" i="1" s="1"/>
  <c r="J3318" i="1" s="1"/>
  <c r="J3317" i="1" s="1"/>
  <c r="J3316" i="1" s="1"/>
  <c r="J3315" i="1" s="1"/>
  <c r="J3314" i="1" s="1"/>
  <c r="J3313" i="1" s="1"/>
  <c r="J3312" i="1" s="1"/>
  <c r="J3311" i="1" s="1"/>
  <c r="J3310" i="1" s="1"/>
  <c r="J3309" i="1" s="1"/>
  <c r="J3308" i="1" s="1"/>
  <c r="J3307" i="1" s="1"/>
  <c r="J3306" i="1" s="1"/>
  <c r="J3305" i="1" s="1"/>
  <c r="J3304" i="1" s="1"/>
  <c r="J3303" i="1" s="1"/>
  <c r="J3302" i="1" s="1"/>
  <c r="J3301" i="1" s="1"/>
  <c r="J3300" i="1" s="1"/>
  <c r="J3299" i="1" s="1"/>
  <c r="J3298" i="1" s="1"/>
  <c r="J3297" i="1" s="1"/>
  <c r="J3296" i="1" s="1"/>
  <c r="J3295" i="1" s="1"/>
  <c r="J3294" i="1" s="1"/>
  <c r="J3293" i="1" s="1"/>
  <c r="J3292" i="1" s="1"/>
  <c r="J3291" i="1" s="1"/>
  <c r="J3290" i="1" s="1"/>
  <c r="J3289" i="1" s="1"/>
  <c r="J3288" i="1" s="1"/>
  <c r="J3287" i="1" s="1"/>
  <c r="J3286" i="1" s="1"/>
  <c r="J3285" i="1" s="1"/>
  <c r="J3284" i="1" s="1"/>
  <c r="J3283" i="1" s="1"/>
  <c r="J3282" i="1" s="1"/>
  <c r="J3279" i="1" s="1"/>
  <c r="J3278" i="1" s="1"/>
  <c r="J3277" i="1" s="1"/>
  <c r="J3276" i="1" s="1"/>
  <c r="J3275" i="1" s="1"/>
  <c r="J3274" i="1" s="1"/>
  <c r="J3273" i="1" s="1"/>
  <c r="J3272" i="1" s="1"/>
  <c r="J3271" i="1" s="1"/>
  <c r="J3270" i="1" s="1"/>
  <c r="J3269" i="1" s="1"/>
  <c r="J3268" i="1" s="1"/>
  <c r="J3267" i="1" s="1"/>
  <c r="J3266" i="1" s="1"/>
  <c r="J3265" i="1" s="1"/>
  <c r="J3264" i="1" s="1"/>
  <c r="J3263" i="1" s="1"/>
  <c r="J3262" i="1" s="1"/>
  <c r="J3261" i="1" s="1"/>
  <c r="J3260" i="1" s="1"/>
  <c r="J3259" i="1" s="1"/>
  <c r="J3258" i="1" s="1"/>
  <c r="J3257" i="1" s="1"/>
  <c r="J3256" i="1" s="1"/>
  <c r="J3255" i="1" s="1"/>
  <c r="J3254" i="1" s="1"/>
  <c r="J3253" i="1" s="1"/>
  <c r="J3252" i="1" s="1"/>
  <c r="J3251" i="1" s="1"/>
  <c r="J3250" i="1" s="1"/>
  <c r="J3249" i="1" s="1"/>
  <c r="J3248" i="1" s="1"/>
  <c r="J3247" i="1" s="1"/>
  <c r="J3246" i="1" s="1"/>
  <c r="J3245" i="1" s="1"/>
  <c r="J3244" i="1" s="1"/>
  <c r="J3243" i="1" s="1"/>
  <c r="J3242" i="1" s="1"/>
  <c r="J3241" i="1" s="1"/>
  <c r="J3240" i="1" s="1"/>
  <c r="J3239" i="1" s="1"/>
  <c r="J3238" i="1" s="1"/>
  <c r="J3237" i="1" s="1"/>
  <c r="J3236" i="1" s="1"/>
  <c r="J3235" i="1" s="1"/>
  <c r="J3234" i="1" s="1"/>
  <c r="J3233" i="1" s="1"/>
  <c r="J3232" i="1" s="1"/>
  <c r="J3231" i="1" s="1"/>
  <c r="J3230" i="1" s="1"/>
  <c r="J3229" i="1" s="1"/>
  <c r="J3228" i="1" s="1"/>
  <c r="J3227" i="1" s="1"/>
  <c r="J3226" i="1" s="1"/>
  <c r="J3225" i="1" s="1"/>
  <c r="J3224" i="1" s="1"/>
  <c r="J3223" i="1" s="1"/>
  <c r="J3222" i="1" s="1"/>
  <c r="J3221" i="1" s="1"/>
  <c r="J3220" i="1" s="1"/>
  <c r="J3219" i="1" s="1"/>
  <c r="J3218" i="1" s="1"/>
  <c r="J3217" i="1" s="1"/>
  <c r="J3216" i="1" s="1"/>
  <c r="J3215" i="1" s="1"/>
  <c r="J3214" i="1" s="1"/>
  <c r="J3213" i="1" s="1"/>
  <c r="J3212" i="1" s="1"/>
  <c r="J3211" i="1" s="1"/>
  <c r="J3210" i="1" s="1"/>
  <c r="J3209" i="1" s="1"/>
  <c r="J3208" i="1" s="1"/>
  <c r="J3207" i="1" s="1"/>
  <c r="J3206" i="1" s="1"/>
  <c r="J3205" i="1" s="1"/>
  <c r="J3204" i="1" s="1"/>
  <c r="J3203" i="1" s="1"/>
  <c r="J3202" i="1" s="1"/>
  <c r="J3201" i="1" s="1"/>
  <c r="J3200" i="1" s="1"/>
  <c r="J3199" i="1" s="1"/>
  <c r="J3198" i="1" s="1"/>
  <c r="J3197" i="1" s="1"/>
  <c r="J3196" i="1" s="1"/>
  <c r="J3195" i="1" s="1"/>
  <c r="J3194" i="1" s="1"/>
  <c r="J3193" i="1" s="1"/>
  <c r="J3192" i="1" s="1"/>
  <c r="J3191" i="1" s="1"/>
  <c r="J3190" i="1" s="1"/>
  <c r="J3189" i="1" s="1"/>
  <c r="J3188" i="1" s="1"/>
  <c r="J3187" i="1" s="1"/>
  <c r="J3186" i="1" s="1"/>
  <c r="J3185" i="1" s="1"/>
  <c r="J3184" i="1" s="1"/>
  <c r="J3183" i="1" s="1"/>
  <c r="J3182" i="1" s="1"/>
  <c r="J3181" i="1" s="1"/>
  <c r="J3180" i="1" s="1"/>
  <c r="J3179" i="1" s="1"/>
  <c r="J3178" i="1" s="1"/>
  <c r="J3177" i="1" s="1"/>
  <c r="J3176" i="1" s="1"/>
  <c r="J3175" i="1" s="1"/>
  <c r="J3174" i="1" s="1"/>
  <c r="J3173" i="1" s="1"/>
  <c r="J3172" i="1" s="1"/>
  <c r="J3171" i="1" s="1"/>
  <c r="J3170" i="1" s="1"/>
  <c r="J3169" i="1" s="1"/>
  <c r="J3168" i="1" s="1"/>
  <c r="J3167" i="1" s="1"/>
  <c r="J3166" i="1" s="1"/>
  <c r="J3165" i="1" s="1"/>
  <c r="J3164" i="1" s="1"/>
  <c r="J3163" i="1" s="1"/>
  <c r="J3162" i="1" s="1"/>
  <c r="J3161" i="1" s="1"/>
  <c r="J3160" i="1" s="1"/>
  <c r="J3159" i="1" s="1"/>
  <c r="J3158" i="1" s="1"/>
  <c r="J3157" i="1" s="1"/>
  <c r="J3156" i="1" s="1"/>
  <c r="J3155" i="1" s="1"/>
  <c r="J3154" i="1" s="1"/>
  <c r="J3153" i="1" s="1"/>
  <c r="J3152" i="1" s="1"/>
  <c r="J3151" i="1" s="1"/>
  <c r="J3150" i="1" s="1"/>
  <c r="J3149" i="1" s="1"/>
  <c r="J3148" i="1" s="1"/>
  <c r="J3147" i="1" s="1"/>
  <c r="J3146" i="1" s="1"/>
  <c r="J3145" i="1" s="1"/>
  <c r="J3144" i="1" s="1"/>
  <c r="J3143" i="1" s="1"/>
  <c r="J3142" i="1" s="1"/>
  <c r="J3141" i="1" s="1"/>
  <c r="J3140" i="1" s="1"/>
  <c r="J3139" i="1" s="1"/>
  <c r="J3138" i="1" s="1"/>
  <c r="J3137" i="1" s="1"/>
  <c r="J3136" i="1" s="1"/>
  <c r="J3135" i="1" s="1"/>
  <c r="J3134" i="1" s="1"/>
  <c r="J3133" i="1" s="1"/>
  <c r="J3132" i="1" s="1"/>
  <c r="J3131" i="1" s="1"/>
  <c r="J3130" i="1" s="1"/>
  <c r="J3129" i="1" s="1"/>
  <c r="J3128" i="1" s="1"/>
  <c r="J3127" i="1" s="1"/>
  <c r="J3126" i="1" s="1"/>
  <c r="J3125" i="1" s="1"/>
  <c r="J3124" i="1" s="1"/>
  <c r="J3123" i="1" s="1"/>
  <c r="J3122" i="1" s="1"/>
  <c r="J3121" i="1" s="1"/>
  <c r="J3120" i="1" s="1"/>
  <c r="J3119" i="1" s="1"/>
  <c r="J3118" i="1" s="1"/>
  <c r="J3117" i="1" s="1"/>
  <c r="J3116" i="1" s="1"/>
  <c r="J3115" i="1" s="1"/>
  <c r="J3114" i="1" s="1"/>
  <c r="J3113" i="1" s="1"/>
  <c r="J3112" i="1" s="1"/>
  <c r="J3111" i="1" s="1"/>
  <c r="J3110" i="1" s="1"/>
  <c r="J3109" i="1" s="1"/>
  <c r="J3108" i="1" s="1"/>
  <c r="J3107" i="1" s="1"/>
  <c r="J3106" i="1" s="1"/>
  <c r="J3105" i="1" s="1"/>
  <c r="J3104" i="1" s="1"/>
  <c r="J3103" i="1" s="1"/>
  <c r="J3102" i="1" s="1"/>
  <c r="J3101" i="1" s="1"/>
  <c r="J3100" i="1" s="1"/>
  <c r="J3099" i="1" s="1"/>
  <c r="J3098" i="1" s="1"/>
  <c r="J3097" i="1" s="1"/>
  <c r="J3096" i="1" s="1"/>
  <c r="J3095" i="1" s="1"/>
  <c r="J3094" i="1" s="1"/>
  <c r="J3093" i="1" s="1"/>
  <c r="J3092" i="1" s="1"/>
  <c r="J3091" i="1" s="1"/>
  <c r="J3090" i="1" s="1"/>
  <c r="J3089" i="1" s="1"/>
  <c r="J3088" i="1" s="1"/>
  <c r="J3087" i="1" s="1"/>
  <c r="J3086" i="1" s="1"/>
  <c r="J3085" i="1" s="1"/>
  <c r="J3084" i="1" s="1"/>
  <c r="J3083" i="1" s="1"/>
  <c r="J3082" i="1" s="1"/>
  <c r="J3081" i="1" s="1"/>
  <c r="J3080" i="1" s="1"/>
  <c r="J3079" i="1" s="1"/>
  <c r="J3078" i="1" s="1"/>
  <c r="J3077" i="1" s="1"/>
  <c r="J3076" i="1" s="1"/>
  <c r="J3075" i="1" s="1"/>
  <c r="J3074" i="1" s="1"/>
  <c r="J3073" i="1" s="1"/>
  <c r="J3072" i="1" s="1"/>
  <c r="J3071" i="1" s="1"/>
  <c r="J3070" i="1" s="1"/>
  <c r="J3069" i="1" s="1"/>
  <c r="J3068" i="1" s="1"/>
  <c r="J3067" i="1" s="1"/>
  <c r="J3066" i="1" s="1"/>
  <c r="J3065" i="1" s="1"/>
  <c r="J3064" i="1" s="1"/>
  <c r="J3063" i="1" s="1"/>
  <c r="J3062" i="1" s="1"/>
  <c r="J3061" i="1" s="1"/>
  <c r="J3060" i="1" s="1"/>
  <c r="J3059" i="1" s="1"/>
  <c r="J3058" i="1" s="1"/>
  <c r="J3057" i="1" s="1"/>
  <c r="J3056" i="1" s="1"/>
  <c r="J3055" i="1" s="1"/>
  <c r="J3054" i="1" s="1"/>
  <c r="J3053" i="1" s="1"/>
  <c r="J3052" i="1" s="1"/>
  <c r="J3051" i="1" s="1"/>
  <c r="J3050" i="1" s="1"/>
  <c r="J3049" i="1" s="1"/>
  <c r="J3048" i="1" s="1"/>
  <c r="J3047" i="1" s="1"/>
  <c r="J3046" i="1" s="1"/>
  <c r="J3045" i="1" s="1"/>
  <c r="J3044" i="1" s="1"/>
  <c r="J3043" i="1" s="1"/>
  <c r="J3042" i="1" s="1"/>
  <c r="J3041" i="1" s="1"/>
  <c r="J3040" i="1" s="1"/>
  <c r="J3039" i="1" s="1"/>
  <c r="J3038" i="1" s="1"/>
  <c r="J3037" i="1" s="1"/>
  <c r="J3036" i="1" s="1"/>
  <c r="J3035" i="1" s="1"/>
  <c r="J3034" i="1" s="1"/>
  <c r="J3033" i="1" s="1"/>
  <c r="J3032" i="1" s="1"/>
  <c r="J3031" i="1" s="1"/>
  <c r="J3030" i="1" s="1"/>
  <c r="J3029" i="1" s="1"/>
  <c r="J3028" i="1" s="1"/>
  <c r="J3027" i="1" s="1"/>
  <c r="J3026" i="1" s="1"/>
  <c r="J3025" i="1" s="1"/>
  <c r="J3024" i="1" s="1"/>
  <c r="J3023" i="1" s="1"/>
  <c r="J3022" i="1" s="1"/>
  <c r="J3021" i="1" s="1"/>
  <c r="J3020" i="1" s="1"/>
  <c r="J3019" i="1" s="1"/>
  <c r="J3018" i="1" s="1"/>
  <c r="J3017" i="1" s="1"/>
  <c r="J3016" i="1" s="1"/>
  <c r="J3015" i="1" s="1"/>
  <c r="J3014" i="1" s="1"/>
  <c r="J3013" i="1" s="1"/>
  <c r="J3012" i="1" s="1"/>
  <c r="J3011" i="1" s="1"/>
  <c r="J3010" i="1" s="1"/>
  <c r="J3009" i="1" s="1"/>
  <c r="J3008" i="1" s="1"/>
  <c r="J3007" i="1" s="1"/>
  <c r="J3006" i="1" s="1"/>
  <c r="J3005" i="1" s="1"/>
  <c r="J3004" i="1" s="1"/>
  <c r="J3003" i="1" s="1"/>
  <c r="J3002" i="1" s="1"/>
  <c r="J3001" i="1" s="1"/>
  <c r="J3000" i="1" s="1"/>
  <c r="J2999" i="1" s="1"/>
  <c r="J2998" i="1" s="1"/>
  <c r="J2997" i="1" s="1"/>
  <c r="J2996" i="1" s="1"/>
  <c r="J2995" i="1" s="1"/>
  <c r="J2994" i="1" s="1"/>
  <c r="J2993" i="1" s="1"/>
  <c r="J2992" i="1" s="1"/>
  <c r="J2991" i="1" s="1"/>
  <c r="J2990" i="1" s="1"/>
  <c r="J2989" i="1" s="1"/>
  <c r="J2988" i="1" s="1"/>
  <c r="J2987" i="1" s="1"/>
  <c r="J2986" i="1" s="1"/>
  <c r="J2985" i="1" s="1"/>
  <c r="J2984" i="1" s="1"/>
  <c r="J2983" i="1" s="1"/>
  <c r="J2980" i="1" s="1"/>
  <c r="J2979" i="1" s="1"/>
  <c r="J2978" i="1" s="1"/>
  <c r="J2977" i="1" s="1"/>
  <c r="J2976" i="1" s="1"/>
  <c r="J2975" i="1" s="1"/>
  <c r="J2974" i="1" s="1"/>
  <c r="J2973" i="1" s="1"/>
  <c r="J2972" i="1" s="1"/>
  <c r="J2971" i="1" s="1"/>
  <c r="J2970" i="1" s="1"/>
  <c r="J2969" i="1" s="1"/>
  <c r="J2968" i="1" s="1"/>
  <c r="J2967" i="1" s="1"/>
  <c r="J2966" i="1" s="1"/>
  <c r="J2965" i="1" s="1"/>
  <c r="J2964" i="1" s="1"/>
  <c r="J2963" i="1" s="1"/>
  <c r="J2962" i="1" s="1"/>
  <c r="J2961" i="1" s="1"/>
  <c r="J2960" i="1" s="1"/>
  <c r="J2959" i="1" s="1"/>
  <c r="J2958" i="1" s="1"/>
  <c r="J2957" i="1" s="1"/>
  <c r="J2956" i="1" s="1"/>
  <c r="J2955" i="1" s="1"/>
  <c r="J2954" i="1" s="1"/>
  <c r="J2953" i="1" s="1"/>
  <c r="J2952" i="1" s="1"/>
  <c r="J2951" i="1" s="1"/>
  <c r="J2950" i="1" s="1"/>
  <c r="J2949" i="1" s="1"/>
  <c r="J2948" i="1" s="1"/>
  <c r="J2947" i="1" s="1"/>
  <c r="J2946" i="1" s="1"/>
  <c r="J2945" i="1" s="1"/>
  <c r="J2944" i="1" s="1"/>
  <c r="J2943" i="1" s="1"/>
  <c r="J2942" i="1" s="1"/>
  <c r="J2941" i="1" s="1"/>
  <c r="J2940" i="1" s="1"/>
  <c r="J2939" i="1" s="1"/>
  <c r="J2938" i="1" s="1"/>
  <c r="J2937" i="1" s="1"/>
  <c r="J2936" i="1" s="1"/>
  <c r="J2935" i="1" s="1"/>
  <c r="J2934" i="1" s="1"/>
  <c r="J2933" i="1" s="1"/>
  <c r="J2932" i="1" s="1"/>
  <c r="J2931" i="1" s="1"/>
  <c r="J2930" i="1" s="1"/>
  <c r="J2929" i="1" s="1"/>
  <c r="J2928" i="1" s="1"/>
  <c r="J2927" i="1" s="1"/>
  <c r="J2926" i="1" s="1"/>
  <c r="J2925" i="1" s="1"/>
  <c r="J2924" i="1" s="1"/>
  <c r="J2923" i="1" s="1"/>
  <c r="J2922" i="1" s="1"/>
  <c r="J2921" i="1" s="1"/>
  <c r="J2920" i="1" s="1"/>
  <c r="J2919" i="1" s="1"/>
  <c r="J2918" i="1" s="1"/>
  <c r="J2917" i="1" s="1"/>
  <c r="J2916" i="1" s="1"/>
  <c r="J2915" i="1" s="1"/>
  <c r="J2914" i="1" s="1"/>
  <c r="J2913" i="1" s="1"/>
  <c r="J2912" i="1" s="1"/>
  <c r="J2911" i="1" s="1"/>
  <c r="J2910" i="1" s="1"/>
  <c r="J2909" i="1" s="1"/>
  <c r="J2908" i="1" s="1"/>
  <c r="J2907" i="1" s="1"/>
  <c r="J2906" i="1" s="1"/>
  <c r="J2905" i="1" s="1"/>
  <c r="J2904" i="1" s="1"/>
  <c r="J2903" i="1" s="1"/>
  <c r="J2902" i="1" s="1"/>
  <c r="J2901" i="1" s="1"/>
  <c r="J2900" i="1" s="1"/>
  <c r="J2899" i="1" s="1"/>
  <c r="J2898" i="1" s="1"/>
  <c r="J2897" i="1" s="1"/>
  <c r="J2896" i="1" s="1"/>
  <c r="J2895" i="1" s="1"/>
  <c r="J2894" i="1" s="1"/>
  <c r="J2893" i="1" s="1"/>
  <c r="J2892" i="1" s="1"/>
  <c r="J2891" i="1" s="1"/>
  <c r="J2890" i="1" s="1"/>
  <c r="J2889" i="1" s="1"/>
  <c r="J2888" i="1" s="1"/>
  <c r="J2887" i="1" s="1"/>
  <c r="J2886" i="1" s="1"/>
  <c r="J2885" i="1" s="1"/>
  <c r="J2884" i="1" s="1"/>
  <c r="J2883" i="1" s="1"/>
  <c r="J2882" i="1" s="1"/>
  <c r="J2881" i="1" s="1"/>
  <c r="J2880" i="1" s="1"/>
  <c r="J2879" i="1" s="1"/>
  <c r="J2878" i="1" s="1"/>
  <c r="J2877" i="1" s="1"/>
  <c r="J2876" i="1" s="1"/>
  <c r="J2875" i="1" s="1"/>
  <c r="J2874" i="1" s="1"/>
  <c r="J2873" i="1" s="1"/>
  <c r="J2872" i="1" s="1"/>
  <c r="J2871" i="1" s="1"/>
  <c r="J2870" i="1" s="1"/>
  <c r="J2869" i="1" s="1"/>
  <c r="J2868" i="1" s="1"/>
  <c r="J2867" i="1" s="1"/>
  <c r="J2866" i="1" s="1"/>
  <c r="J2865" i="1" s="1"/>
  <c r="J2864" i="1" s="1"/>
  <c r="J2863" i="1" s="1"/>
  <c r="J2862" i="1" s="1"/>
  <c r="J2861" i="1" s="1"/>
  <c r="J2860" i="1" s="1"/>
  <c r="J2859" i="1" s="1"/>
  <c r="J2858" i="1" s="1"/>
  <c r="J2857" i="1" s="1"/>
  <c r="J2856" i="1" s="1"/>
  <c r="J2855" i="1" s="1"/>
  <c r="J2854" i="1" s="1"/>
  <c r="J2853" i="1" s="1"/>
  <c r="J2852" i="1" s="1"/>
  <c r="J2851" i="1" s="1"/>
  <c r="J2850" i="1" s="1"/>
  <c r="J2849" i="1" s="1"/>
  <c r="J2848" i="1" s="1"/>
  <c r="J2847" i="1" s="1"/>
  <c r="J2846" i="1" s="1"/>
  <c r="J2845" i="1" s="1"/>
  <c r="J2844" i="1" s="1"/>
  <c r="J2843" i="1" s="1"/>
  <c r="J2842" i="1" s="1"/>
  <c r="J2841" i="1" s="1"/>
  <c r="J2840" i="1" s="1"/>
  <c r="J2839" i="1" s="1"/>
  <c r="J2838" i="1" s="1"/>
  <c r="J2837" i="1" s="1"/>
  <c r="J2836" i="1" s="1"/>
  <c r="J2835" i="1" s="1"/>
  <c r="J2834" i="1" s="1"/>
  <c r="J2833" i="1" s="1"/>
  <c r="J2832" i="1" s="1"/>
  <c r="J2831" i="1" s="1"/>
  <c r="J2830" i="1" s="1"/>
  <c r="J2829" i="1" s="1"/>
  <c r="J2828" i="1" s="1"/>
  <c r="J2827" i="1" s="1"/>
  <c r="J2826" i="1" s="1"/>
  <c r="J2825" i="1" s="1"/>
  <c r="J2824" i="1" s="1"/>
  <c r="J2823" i="1" s="1"/>
  <c r="J2822" i="1" s="1"/>
  <c r="J2821" i="1" s="1"/>
  <c r="J2820" i="1" s="1"/>
  <c r="J2819" i="1" s="1"/>
  <c r="J2818" i="1" s="1"/>
  <c r="J2817" i="1" s="1"/>
  <c r="J2816" i="1" s="1"/>
  <c r="J2815" i="1" s="1"/>
  <c r="J2814" i="1" s="1"/>
  <c r="J2813" i="1" s="1"/>
  <c r="J2812" i="1" s="1"/>
  <c r="J2811" i="1" s="1"/>
  <c r="J2810" i="1" s="1"/>
  <c r="J2809" i="1" s="1"/>
  <c r="J2808" i="1" s="1"/>
  <c r="J2807" i="1" s="1"/>
  <c r="J2806" i="1" s="1"/>
  <c r="J2805" i="1" s="1"/>
  <c r="J2804" i="1" s="1"/>
  <c r="J2803" i="1" s="1"/>
  <c r="J2802" i="1" s="1"/>
  <c r="J2801" i="1" s="1"/>
  <c r="J2800" i="1" s="1"/>
  <c r="J2799" i="1" s="1"/>
  <c r="J2798" i="1" s="1"/>
  <c r="J2797" i="1" s="1"/>
  <c r="J2796" i="1" s="1"/>
  <c r="J2795" i="1" s="1"/>
  <c r="J2794" i="1" s="1"/>
  <c r="J2793" i="1" s="1"/>
  <c r="J2792" i="1" s="1"/>
  <c r="J2791" i="1" s="1"/>
  <c r="J2790" i="1" s="1"/>
  <c r="J2789" i="1" s="1"/>
  <c r="J2788" i="1" s="1"/>
  <c r="J2787" i="1" s="1"/>
  <c r="J2786" i="1" s="1"/>
  <c r="J2785" i="1" s="1"/>
  <c r="J2784" i="1" s="1"/>
  <c r="J2783" i="1" s="1"/>
  <c r="J2782" i="1" s="1"/>
  <c r="J2781" i="1" s="1"/>
  <c r="J2780" i="1" s="1"/>
  <c r="J2779" i="1" s="1"/>
  <c r="J2778" i="1" s="1"/>
  <c r="J2777" i="1" s="1"/>
  <c r="J2776" i="1" s="1"/>
  <c r="J2775" i="1" s="1"/>
  <c r="J2774" i="1" s="1"/>
  <c r="J2773" i="1" s="1"/>
  <c r="J2772" i="1" s="1"/>
  <c r="J2771" i="1" s="1"/>
  <c r="J2770" i="1" s="1"/>
  <c r="J2769" i="1" s="1"/>
  <c r="J2768" i="1" s="1"/>
  <c r="J2767" i="1" s="1"/>
  <c r="J2766" i="1" s="1"/>
  <c r="J2765" i="1" s="1"/>
  <c r="J2764" i="1" s="1"/>
  <c r="J2763" i="1" s="1"/>
  <c r="J2762" i="1" s="1"/>
  <c r="J2761" i="1" s="1"/>
  <c r="J2760" i="1" s="1"/>
  <c r="J2759" i="1" s="1"/>
  <c r="J2758" i="1" s="1"/>
  <c r="J2757" i="1" s="1"/>
  <c r="J2756" i="1" s="1"/>
  <c r="J2755" i="1" s="1"/>
  <c r="J2754" i="1" s="1"/>
  <c r="J2753" i="1" s="1"/>
  <c r="J2752" i="1" s="1"/>
  <c r="J2751" i="1" s="1"/>
  <c r="J2750" i="1" s="1"/>
  <c r="J2749" i="1" s="1"/>
  <c r="J2748" i="1" s="1"/>
  <c r="J2747" i="1" s="1"/>
  <c r="J2746" i="1" s="1"/>
  <c r="J2745" i="1" s="1"/>
  <c r="J2744" i="1" s="1"/>
  <c r="J2743" i="1" s="1"/>
  <c r="J2742" i="1" s="1"/>
  <c r="J2741" i="1" s="1"/>
  <c r="J2740" i="1" s="1"/>
  <c r="J2739" i="1" s="1"/>
  <c r="J2738" i="1" s="1"/>
  <c r="J2737" i="1" s="1"/>
  <c r="J2736" i="1" s="1"/>
  <c r="J2735" i="1" s="1"/>
  <c r="J2734" i="1" s="1"/>
  <c r="J2733" i="1" s="1"/>
  <c r="J2732" i="1" s="1"/>
  <c r="J2731" i="1" s="1"/>
  <c r="J2730" i="1" s="1"/>
  <c r="J2729" i="1" s="1"/>
  <c r="J2728" i="1" s="1"/>
  <c r="J2727" i="1" s="1"/>
  <c r="J2726" i="1" s="1"/>
  <c r="J2725" i="1" s="1"/>
  <c r="J2724" i="1" s="1"/>
  <c r="J2723" i="1" s="1"/>
  <c r="J2722" i="1" s="1"/>
  <c r="J2721" i="1" s="1"/>
  <c r="J2720" i="1" s="1"/>
  <c r="J2719" i="1" s="1"/>
  <c r="J2718" i="1" s="1"/>
  <c r="J2717" i="1" s="1"/>
  <c r="J2716" i="1" s="1"/>
  <c r="J2715" i="1" s="1"/>
  <c r="J2714" i="1" s="1"/>
  <c r="J2713" i="1" s="1"/>
  <c r="J2712" i="1" s="1"/>
  <c r="J2711" i="1" s="1"/>
  <c r="J2710" i="1" s="1"/>
  <c r="J2709" i="1" s="1"/>
  <c r="J2708" i="1" s="1"/>
  <c r="J2707" i="1" s="1"/>
  <c r="J2706" i="1" s="1"/>
  <c r="J2705" i="1" s="1"/>
  <c r="J2704" i="1" s="1"/>
  <c r="J2703" i="1" s="1"/>
  <c r="J2702" i="1" s="1"/>
  <c r="J2701" i="1" s="1"/>
  <c r="J2700" i="1" s="1"/>
  <c r="J2699" i="1" s="1"/>
  <c r="J2698" i="1" s="1"/>
  <c r="J2697" i="1" s="1"/>
  <c r="J2696" i="1" s="1"/>
  <c r="J2695" i="1" s="1"/>
  <c r="J2694" i="1" s="1"/>
  <c r="J2693" i="1" s="1"/>
  <c r="J2692" i="1" s="1"/>
  <c r="J2691" i="1" s="1"/>
  <c r="J2690" i="1" s="1"/>
  <c r="J2689" i="1" s="1"/>
  <c r="J2688" i="1" s="1"/>
  <c r="J2687" i="1" s="1"/>
  <c r="J2686" i="1" s="1"/>
  <c r="J2685" i="1" s="1"/>
  <c r="J2684" i="1" s="1"/>
  <c r="J2683" i="1" s="1"/>
  <c r="J2682" i="1" s="1"/>
  <c r="J2681" i="1" s="1"/>
  <c r="J2680" i="1" s="1"/>
  <c r="J2679" i="1" s="1"/>
  <c r="J2678" i="1" s="1"/>
  <c r="J2677" i="1" s="1"/>
  <c r="J2676" i="1" s="1"/>
  <c r="J2675" i="1" s="1"/>
  <c r="J2674" i="1" s="1"/>
  <c r="J2673" i="1" s="1"/>
  <c r="J2672" i="1" s="1"/>
  <c r="J2671" i="1" s="1"/>
  <c r="J2670" i="1" s="1"/>
  <c r="J2669" i="1" s="1"/>
  <c r="J2668" i="1" s="1"/>
  <c r="J2667" i="1" s="1"/>
  <c r="J2666" i="1" s="1"/>
  <c r="J2665" i="1" s="1"/>
  <c r="J2664" i="1" s="1"/>
  <c r="J2663" i="1" s="1"/>
  <c r="J2662" i="1" s="1"/>
  <c r="J2661" i="1" s="1"/>
  <c r="J2660" i="1" s="1"/>
  <c r="J2659" i="1" s="1"/>
  <c r="J2658" i="1" s="1"/>
  <c r="J2657" i="1" s="1"/>
  <c r="J2656" i="1" s="1"/>
  <c r="J2655" i="1" s="1"/>
  <c r="J2654" i="1" s="1"/>
  <c r="J2653" i="1" s="1"/>
  <c r="J2652" i="1" s="1"/>
  <c r="J2651" i="1" s="1"/>
  <c r="J2650" i="1" s="1"/>
  <c r="J2649" i="1" s="1"/>
  <c r="J2648" i="1" s="1"/>
  <c r="J2645" i="1" s="1"/>
  <c r="J2644" i="1" s="1"/>
  <c r="J2643" i="1" s="1"/>
  <c r="J2642" i="1" s="1"/>
  <c r="J2641" i="1" s="1"/>
  <c r="J2640" i="1" s="1"/>
  <c r="J2639" i="1" s="1"/>
  <c r="J2638" i="1" s="1"/>
  <c r="J2637" i="1" s="1"/>
  <c r="J2636" i="1" s="1"/>
  <c r="J2635" i="1" s="1"/>
  <c r="J2634" i="1" s="1"/>
  <c r="J2633" i="1" s="1"/>
  <c r="J2632" i="1" s="1"/>
  <c r="J2631" i="1" s="1"/>
  <c r="J2630" i="1" s="1"/>
  <c r="J2629" i="1" s="1"/>
  <c r="J2628" i="1" s="1"/>
  <c r="J2627" i="1" s="1"/>
  <c r="J2626" i="1" s="1"/>
  <c r="J2625" i="1" s="1"/>
  <c r="J2624" i="1" s="1"/>
  <c r="J2623" i="1" s="1"/>
  <c r="J2622" i="1" s="1"/>
  <c r="J2621" i="1" s="1"/>
  <c r="J2620" i="1" s="1"/>
  <c r="J2619" i="1" s="1"/>
  <c r="J2618" i="1" s="1"/>
  <c r="J2617" i="1" s="1"/>
  <c r="J2616" i="1" s="1"/>
  <c r="J2615" i="1" s="1"/>
  <c r="J2614" i="1" s="1"/>
  <c r="J2613" i="1" s="1"/>
  <c r="J2612" i="1" s="1"/>
  <c r="J2611" i="1" s="1"/>
  <c r="J2610" i="1" s="1"/>
  <c r="J2609" i="1" s="1"/>
  <c r="J2608" i="1" s="1"/>
  <c r="J2607" i="1" s="1"/>
  <c r="J2606" i="1" s="1"/>
  <c r="J2605" i="1" s="1"/>
  <c r="J2604" i="1" s="1"/>
  <c r="J2603" i="1" s="1"/>
  <c r="J2602" i="1" s="1"/>
  <c r="J2601" i="1" s="1"/>
  <c r="J2600" i="1" s="1"/>
  <c r="J2599" i="1" s="1"/>
  <c r="J2598" i="1" s="1"/>
  <c r="J2597" i="1" s="1"/>
  <c r="J2596" i="1" s="1"/>
  <c r="J2595" i="1" s="1"/>
  <c r="J2594" i="1" s="1"/>
  <c r="J2593" i="1" s="1"/>
  <c r="J2592" i="1" s="1"/>
  <c r="J2591" i="1" s="1"/>
  <c r="J2590" i="1" s="1"/>
  <c r="J2589" i="1" s="1"/>
  <c r="J2588" i="1" s="1"/>
  <c r="J2587" i="1" s="1"/>
  <c r="J2586" i="1" s="1"/>
  <c r="J2585" i="1" s="1"/>
  <c r="J2584" i="1" s="1"/>
  <c r="J2583" i="1" s="1"/>
  <c r="J2582" i="1" s="1"/>
  <c r="J2581" i="1" s="1"/>
  <c r="J2580" i="1" s="1"/>
  <c r="J2579" i="1" s="1"/>
  <c r="J2578" i="1" s="1"/>
  <c r="J2577" i="1" s="1"/>
  <c r="J2576" i="1" s="1"/>
  <c r="J2575" i="1" s="1"/>
  <c r="J2574" i="1" s="1"/>
  <c r="J2573" i="1" s="1"/>
  <c r="J2572" i="1" s="1"/>
  <c r="J2571" i="1" s="1"/>
  <c r="J2570" i="1" s="1"/>
  <c r="J2569" i="1" s="1"/>
  <c r="J2568" i="1" s="1"/>
  <c r="J2567" i="1" s="1"/>
  <c r="J2566" i="1" s="1"/>
  <c r="J2565" i="1" s="1"/>
  <c r="J2564" i="1" s="1"/>
  <c r="J2563" i="1" s="1"/>
  <c r="J2562" i="1" s="1"/>
  <c r="J2561" i="1" s="1"/>
  <c r="J2560" i="1" s="1"/>
  <c r="J2559" i="1" s="1"/>
  <c r="J2558" i="1" s="1"/>
  <c r="J2557" i="1" s="1"/>
  <c r="J2556" i="1" s="1"/>
  <c r="J2555" i="1" s="1"/>
  <c r="J2554" i="1" s="1"/>
  <c r="J2553" i="1" s="1"/>
  <c r="J2552" i="1" s="1"/>
  <c r="J2551" i="1" s="1"/>
  <c r="J2550" i="1" s="1"/>
  <c r="J2549" i="1" s="1"/>
  <c r="J2548" i="1" s="1"/>
  <c r="J2547" i="1" s="1"/>
  <c r="J2546" i="1" s="1"/>
  <c r="J2545" i="1" s="1"/>
  <c r="J2544" i="1" s="1"/>
  <c r="J2543" i="1" s="1"/>
  <c r="J2542" i="1" s="1"/>
  <c r="J2541" i="1" s="1"/>
  <c r="J2540" i="1" s="1"/>
  <c r="J2539" i="1" s="1"/>
  <c r="J2538" i="1" s="1"/>
  <c r="J2537" i="1" s="1"/>
  <c r="J2536" i="1" s="1"/>
  <c r="J2535" i="1" s="1"/>
  <c r="J2534" i="1" s="1"/>
  <c r="J2533" i="1" s="1"/>
  <c r="J2532" i="1" s="1"/>
  <c r="J2531" i="1" s="1"/>
  <c r="J2530" i="1" s="1"/>
  <c r="J2529" i="1" s="1"/>
  <c r="J2528" i="1" s="1"/>
  <c r="J2527" i="1" s="1"/>
  <c r="J2526" i="1" s="1"/>
  <c r="J2525" i="1" s="1"/>
  <c r="J2524" i="1" s="1"/>
  <c r="J2523" i="1" s="1"/>
  <c r="J2522" i="1" s="1"/>
  <c r="J2521" i="1" s="1"/>
  <c r="J2520" i="1" s="1"/>
  <c r="J2519" i="1" s="1"/>
  <c r="J2518" i="1" s="1"/>
  <c r="J2517" i="1" s="1"/>
  <c r="J2516" i="1" s="1"/>
  <c r="J2515" i="1" s="1"/>
  <c r="J2514" i="1" s="1"/>
  <c r="J2513" i="1" s="1"/>
  <c r="J2512" i="1" s="1"/>
  <c r="J2511" i="1" s="1"/>
  <c r="J2510" i="1" s="1"/>
  <c r="J2509" i="1" s="1"/>
  <c r="J2508" i="1" s="1"/>
  <c r="J2507" i="1" s="1"/>
  <c r="J2506" i="1" s="1"/>
  <c r="J2505" i="1" s="1"/>
  <c r="J2504" i="1" s="1"/>
  <c r="J2503" i="1" s="1"/>
  <c r="J2502" i="1" s="1"/>
  <c r="J2501" i="1" s="1"/>
  <c r="J2500" i="1" s="1"/>
  <c r="J2499" i="1" s="1"/>
  <c r="J2498" i="1" s="1"/>
  <c r="J2497" i="1" s="1"/>
  <c r="J2496" i="1" s="1"/>
  <c r="J2495" i="1" s="1"/>
  <c r="J2494" i="1" s="1"/>
  <c r="J2493" i="1" s="1"/>
  <c r="J2492" i="1" s="1"/>
  <c r="J2491" i="1" s="1"/>
  <c r="J2490" i="1" s="1"/>
  <c r="J2489" i="1" s="1"/>
  <c r="J2488" i="1" s="1"/>
  <c r="J2487" i="1" s="1"/>
  <c r="J2486" i="1" s="1"/>
  <c r="J2485" i="1" s="1"/>
  <c r="J2484" i="1" s="1"/>
  <c r="J2483" i="1" s="1"/>
  <c r="J2482" i="1" s="1"/>
  <c r="J2481" i="1" s="1"/>
  <c r="J2480" i="1" s="1"/>
  <c r="J2479" i="1" s="1"/>
  <c r="J2478" i="1" s="1"/>
  <c r="J2477" i="1" s="1"/>
  <c r="J2476" i="1" s="1"/>
  <c r="J2475" i="1" s="1"/>
  <c r="J2474" i="1" s="1"/>
  <c r="J2473" i="1" s="1"/>
  <c r="J2472" i="1" s="1"/>
  <c r="J2471" i="1" s="1"/>
  <c r="J2470" i="1" s="1"/>
  <c r="J2469" i="1" s="1"/>
  <c r="J2468" i="1" s="1"/>
  <c r="J2467" i="1" s="1"/>
  <c r="J2466" i="1" s="1"/>
  <c r="J2465" i="1" s="1"/>
  <c r="J2464" i="1" s="1"/>
  <c r="J2463" i="1" s="1"/>
  <c r="J2462" i="1" s="1"/>
  <c r="J2461" i="1" s="1"/>
  <c r="J2460" i="1" s="1"/>
  <c r="J2459" i="1" s="1"/>
  <c r="J2458" i="1" s="1"/>
  <c r="J2457" i="1" s="1"/>
  <c r="J2456" i="1" s="1"/>
  <c r="J2455" i="1" s="1"/>
  <c r="J2454" i="1" s="1"/>
  <c r="J2453" i="1" s="1"/>
  <c r="J2452" i="1" s="1"/>
  <c r="J2451" i="1" s="1"/>
  <c r="J2450" i="1" s="1"/>
  <c r="J2449" i="1" s="1"/>
  <c r="J2448" i="1" s="1"/>
  <c r="J2447" i="1" s="1"/>
  <c r="J2446" i="1" s="1"/>
  <c r="J2445" i="1" s="1"/>
  <c r="J2444" i="1" s="1"/>
  <c r="J2443" i="1" s="1"/>
  <c r="J2442" i="1" s="1"/>
  <c r="J2441" i="1" s="1"/>
  <c r="J2440" i="1" s="1"/>
  <c r="J2439" i="1" s="1"/>
  <c r="J2438" i="1" s="1"/>
  <c r="J2437" i="1" s="1"/>
  <c r="J2436" i="1" s="1"/>
  <c r="J2435" i="1" s="1"/>
  <c r="J2434" i="1" s="1"/>
  <c r="J2433" i="1" s="1"/>
  <c r="J2432" i="1" s="1"/>
  <c r="J2431" i="1" s="1"/>
  <c r="J2430" i="1" s="1"/>
  <c r="J2429" i="1" s="1"/>
  <c r="J2428" i="1" s="1"/>
  <c r="J2427" i="1" s="1"/>
  <c r="J2426" i="1" s="1"/>
  <c r="J2425" i="1" s="1"/>
  <c r="J2424" i="1" s="1"/>
  <c r="J2423" i="1" s="1"/>
  <c r="J2422" i="1" s="1"/>
  <c r="J2421" i="1" s="1"/>
  <c r="J2420" i="1" s="1"/>
  <c r="J2419" i="1" s="1"/>
  <c r="J2418" i="1" s="1"/>
  <c r="J2417" i="1" s="1"/>
  <c r="J2416" i="1" s="1"/>
  <c r="J2415" i="1" s="1"/>
  <c r="J2414" i="1" s="1"/>
  <c r="J2413" i="1" s="1"/>
  <c r="J2412" i="1" s="1"/>
  <c r="J2411" i="1" s="1"/>
  <c r="J2410" i="1" s="1"/>
  <c r="J2409" i="1" s="1"/>
  <c r="J2408" i="1" s="1"/>
  <c r="J2407" i="1" s="1"/>
  <c r="J2406" i="1" s="1"/>
  <c r="J2405" i="1" s="1"/>
  <c r="J2404" i="1" s="1"/>
  <c r="J2403" i="1" s="1"/>
  <c r="J2402" i="1" s="1"/>
  <c r="J2401" i="1" s="1"/>
  <c r="J2400" i="1" s="1"/>
  <c r="J2399" i="1" s="1"/>
  <c r="J2398" i="1" s="1"/>
  <c r="J2397" i="1" s="1"/>
  <c r="J2396" i="1" s="1"/>
  <c r="J2395" i="1" s="1"/>
  <c r="J2394" i="1" s="1"/>
  <c r="J2393" i="1" s="1"/>
  <c r="J2392" i="1" s="1"/>
  <c r="J2391" i="1" s="1"/>
  <c r="J2390" i="1" s="1"/>
  <c r="J2389" i="1" s="1"/>
  <c r="J2388" i="1" s="1"/>
  <c r="J2387" i="1" s="1"/>
  <c r="J2386" i="1" s="1"/>
  <c r="J2385" i="1" s="1"/>
  <c r="J2384" i="1" s="1"/>
  <c r="J2383" i="1" s="1"/>
  <c r="J2382" i="1" s="1"/>
  <c r="J2381" i="1" s="1"/>
  <c r="J2380" i="1" s="1"/>
  <c r="J2379" i="1" s="1"/>
  <c r="J2378" i="1" s="1"/>
  <c r="J2377" i="1" s="1"/>
  <c r="J2376" i="1" s="1"/>
  <c r="J2375" i="1" s="1"/>
  <c r="J2374" i="1" s="1"/>
  <c r="J2373" i="1" s="1"/>
  <c r="J2372" i="1" s="1"/>
  <c r="J2371" i="1" s="1"/>
  <c r="J2370" i="1" s="1"/>
  <c r="J2369" i="1" s="1"/>
  <c r="J2368" i="1" s="1"/>
  <c r="J2367" i="1" s="1"/>
  <c r="J2366" i="1" s="1"/>
  <c r="J2365" i="1" s="1"/>
  <c r="J2364" i="1" s="1"/>
  <c r="J2363" i="1" s="1"/>
  <c r="J2362" i="1" s="1"/>
  <c r="J2361" i="1" s="1"/>
  <c r="J2360" i="1" s="1"/>
  <c r="J2359" i="1" s="1"/>
  <c r="J2358" i="1" s="1"/>
  <c r="J2357" i="1" s="1"/>
  <c r="J2356" i="1" s="1"/>
  <c r="J2355" i="1" s="1"/>
  <c r="J2354" i="1" s="1"/>
  <c r="J2353" i="1" s="1"/>
  <c r="J2352" i="1" s="1"/>
  <c r="J2351" i="1" s="1"/>
  <c r="J2350" i="1" s="1"/>
  <c r="J2349" i="1" s="1"/>
  <c r="J2348" i="1" s="1"/>
  <c r="J2347" i="1" s="1"/>
  <c r="J2346" i="1" s="1"/>
  <c r="J2345" i="1" s="1"/>
  <c r="J2344" i="1" s="1"/>
  <c r="J2343" i="1" s="1"/>
  <c r="J2342" i="1" s="1"/>
  <c r="J2341" i="1" s="1"/>
  <c r="J2340" i="1" s="1"/>
  <c r="J2339" i="1" s="1"/>
  <c r="J2338" i="1" s="1"/>
  <c r="J2337" i="1" s="1"/>
  <c r="J2336" i="1" s="1"/>
  <c r="J2335" i="1" s="1"/>
  <c r="J2334" i="1" s="1"/>
  <c r="J2333" i="1" s="1"/>
  <c r="J2332" i="1" s="1"/>
  <c r="J2331" i="1" s="1"/>
  <c r="J2330" i="1" s="1"/>
  <c r="J2329" i="1" s="1"/>
  <c r="J2328" i="1" s="1"/>
  <c r="J2327" i="1" s="1"/>
  <c r="J2326" i="1" s="1"/>
  <c r="J2325" i="1" s="1"/>
  <c r="J2324" i="1" s="1"/>
  <c r="J2323" i="1" s="1"/>
  <c r="J2322" i="1" s="1"/>
  <c r="J2321" i="1" s="1"/>
  <c r="J2320" i="1" s="1"/>
  <c r="J2319" i="1" s="1"/>
  <c r="J2316" i="1" s="1"/>
  <c r="J2315" i="1" s="1"/>
  <c r="J2314" i="1" s="1"/>
  <c r="J2313" i="1" s="1"/>
  <c r="J2312" i="1" s="1"/>
  <c r="J2311" i="1" s="1"/>
  <c r="J2310" i="1" s="1"/>
  <c r="J2309" i="1" s="1"/>
  <c r="J2308" i="1" s="1"/>
  <c r="J2307" i="1" s="1"/>
  <c r="J2306" i="1" s="1"/>
  <c r="J2305" i="1" s="1"/>
  <c r="J2304" i="1" s="1"/>
  <c r="J2303" i="1" s="1"/>
  <c r="J2302" i="1" s="1"/>
  <c r="J2301" i="1" s="1"/>
  <c r="J2300" i="1" s="1"/>
  <c r="J2299" i="1" s="1"/>
  <c r="J2298" i="1" s="1"/>
  <c r="J2297" i="1" s="1"/>
  <c r="J2296" i="1" s="1"/>
  <c r="J2295" i="1" s="1"/>
  <c r="J2294" i="1" s="1"/>
  <c r="J2293" i="1" s="1"/>
  <c r="J2292" i="1" s="1"/>
  <c r="J2291" i="1" s="1"/>
  <c r="J2290" i="1" s="1"/>
  <c r="J2289" i="1" s="1"/>
  <c r="J2288" i="1" s="1"/>
  <c r="J2287" i="1" s="1"/>
  <c r="J2286" i="1" s="1"/>
  <c r="J2285" i="1" s="1"/>
  <c r="J2284" i="1" s="1"/>
  <c r="J2283" i="1" s="1"/>
  <c r="J2282" i="1" s="1"/>
  <c r="J2281" i="1" s="1"/>
  <c r="J2280" i="1" s="1"/>
  <c r="J2279" i="1" s="1"/>
  <c r="J2278" i="1" s="1"/>
  <c r="J2277" i="1" s="1"/>
  <c r="J2276" i="1" s="1"/>
  <c r="J2275" i="1" s="1"/>
  <c r="J2274" i="1" s="1"/>
  <c r="J2273" i="1" s="1"/>
  <c r="J2272" i="1" s="1"/>
  <c r="J2271" i="1" s="1"/>
  <c r="J2270" i="1" s="1"/>
  <c r="J2269" i="1" s="1"/>
  <c r="J2268" i="1" s="1"/>
  <c r="J2267" i="1" s="1"/>
  <c r="J2266" i="1" s="1"/>
  <c r="J2265" i="1" s="1"/>
  <c r="J2264" i="1" s="1"/>
  <c r="J2263" i="1" s="1"/>
  <c r="J2262" i="1" s="1"/>
  <c r="J2261" i="1" s="1"/>
  <c r="J2260" i="1" s="1"/>
  <c r="J2259" i="1" s="1"/>
  <c r="J2258" i="1" s="1"/>
  <c r="J2257" i="1" s="1"/>
  <c r="J2256" i="1" s="1"/>
  <c r="J2255" i="1" s="1"/>
  <c r="J2254" i="1" s="1"/>
  <c r="J2253" i="1" s="1"/>
  <c r="J2252" i="1" s="1"/>
  <c r="J2251" i="1" s="1"/>
  <c r="J2250" i="1" s="1"/>
  <c r="J2249" i="1" s="1"/>
  <c r="J2248" i="1" s="1"/>
  <c r="J2247" i="1" s="1"/>
  <c r="J2246" i="1" s="1"/>
  <c r="J2245" i="1" s="1"/>
  <c r="J2244" i="1" s="1"/>
  <c r="J2243" i="1" s="1"/>
  <c r="J2242" i="1" s="1"/>
  <c r="J2241" i="1" s="1"/>
  <c r="J2240" i="1" s="1"/>
  <c r="J2239" i="1" s="1"/>
  <c r="J2238" i="1" s="1"/>
  <c r="J2237" i="1" s="1"/>
  <c r="J2236" i="1" s="1"/>
  <c r="J2235" i="1" s="1"/>
  <c r="J2234" i="1" s="1"/>
  <c r="J2233" i="1" s="1"/>
  <c r="J2232" i="1" s="1"/>
  <c r="J2231" i="1" s="1"/>
  <c r="J2230" i="1" s="1"/>
  <c r="J2229" i="1" s="1"/>
  <c r="J2228" i="1" s="1"/>
  <c r="J2227" i="1" s="1"/>
  <c r="J2226" i="1" s="1"/>
  <c r="J2225" i="1" s="1"/>
  <c r="J2224" i="1" s="1"/>
  <c r="J2223" i="1" s="1"/>
  <c r="J2222" i="1" s="1"/>
  <c r="J2221" i="1" s="1"/>
  <c r="J2220" i="1" s="1"/>
  <c r="J2219" i="1" s="1"/>
  <c r="J2218" i="1" s="1"/>
  <c r="J2217" i="1" s="1"/>
  <c r="J2216" i="1" s="1"/>
  <c r="J2215" i="1" s="1"/>
  <c r="J2214" i="1" s="1"/>
  <c r="J2213" i="1" s="1"/>
  <c r="J2212" i="1" s="1"/>
  <c r="J2211" i="1" s="1"/>
  <c r="J2210" i="1" s="1"/>
  <c r="J2209" i="1" s="1"/>
  <c r="J2208" i="1" s="1"/>
  <c r="J2207" i="1" s="1"/>
  <c r="J2206" i="1" s="1"/>
  <c r="J2205" i="1" s="1"/>
  <c r="J2204" i="1" s="1"/>
  <c r="J2203" i="1" s="1"/>
  <c r="J2202" i="1" s="1"/>
  <c r="J2201" i="1" s="1"/>
  <c r="J2200" i="1" s="1"/>
  <c r="J2199" i="1" s="1"/>
  <c r="J2198" i="1" s="1"/>
  <c r="J2197" i="1" s="1"/>
  <c r="J2196" i="1" s="1"/>
  <c r="J2195" i="1" s="1"/>
  <c r="J2194" i="1" s="1"/>
  <c r="J2193" i="1" s="1"/>
  <c r="J2192" i="1" s="1"/>
  <c r="J2191" i="1" s="1"/>
  <c r="J2190" i="1" s="1"/>
  <c r="J2189" i="1" s="1"/>
  <c r="J2188" i="1" s="1"/>
  <c r="J2187" i="1" s="1"/>
  <c r="J2186" i="1" s="1"/>
  <c r="J2185" i="1" s="1"/>
  <c r="J2184" i="1" s="1"/>
  <c r="J2183" i="1" s="1"/>
  <c r="J2182" i="1" s="1"/>
  <c r="J2181" i="1" s="1"/>
  <c r="J2180" i="1" s="1"/>
  <c r="J2179" i="1" s="1"/>
  <c r="J2178" i="1" s="1"/>
  <c r="J2177" i="1" s="1"/>
  <c r="J2176" i="1" s="1"/>
  <c r="J2175" i="1" s="1"/>
  <c r="J2174" i="1" s="1"/>
  <c r="J2173" i="1" s="1"/>
  <c r="J2172" i="1" s="1"/>
  <c r="J2171" i="1" s="1"/>
  <c r="J2170" i="1" s="1"/>
  <c r="J2169" i="1" s="1"/>
  <c r="J2168" i="1" s="1"/>
  <c r="J2167" i="1" s="1"/>
  <c r="J2166" i="1" s="1"/>
  <c r="J2165" i="1" s="1"/>
  <c r="J2164" i="1" s="1"/>
  <c r="J2163" i="1" s="1"/>
  <c r="J2162" i="1" s="1"/>
  <c r="J2161" i="1" s="1"/>
  <c r="J2160" i="1" s="1"/>
  <c r="J2159" i="1" s="1"/>
  <c r="J2158" i="1" s="1"/>
  <c r="J2157" i="1" s="1"/>
  <c r="J2156" i="1" s="1"/>
  <c r="J2155" i="1" s="1"/>
  <c r="J2154" i="1" s="1"/>
  <c r="J2153" i="1" s="1"/>
  <c r="J2152" i="1" s="1"/>
  <c r="J2151" i="1" s="1"/>
  <c r="J2150" i="1" s="1"/>
  <c r="J2149" i="1" s="1"/>
  <c r="J2148" i="1" s="1"/>
  <c r="J2147" i="1" s="1"/>
  <c r="J2146" i="1" s="1"/>
  <c r="J2145" i="1" s="1"/>
  <c r="J2144" i="1" s="1"/>
  <c r="J2143" i="1" s="1"/>
  <c r="J2142" i="1" s="1"/>
  <c r="J2141" i="1" s="1"/>
  <c r="J2140" i="1" s="1"/>
  <c r="J2139" i="1" s="1"/>
  <c r="J2138" i="1" s="1"/>
  <c r="J2137" i="1" s="1"/>
  <c r="J2136" i="1" s="1"/>
  <c r="J2135" i="1" s="1"/>
  <c r="J2134" i="1" s="1"/>
  <c r="J2133" i="1" s="1"/>
  <c r="J2132" i="1" s="1"/>
  <c r="J2131" i="1" s="1"/>
  <c r="J2130" i="1" s="1"/>
  <c r="J2129" i="1" s="1"/>
  <c r="J2128" i="1" s="1"/>
  <c r="J2127" i="1" s="1"/>
  <c r="J2126" i="1" s="1"/>
  <c r="J2125" i="1" s="1"/>
  <c r="J2124" i="1" s="1"/>
  <c r="J2123" i="1" s="1"/>
  <c r="J2122" i="1" s="1"/>
  <c r="J2121" i="1" s="1"/>
  <c r="J2120" i="1" s="1"/>
  <c r="J2119" i="1" s="1"/>
  <c r="J2118" i="1" s="1"/>
  <c r="J2117" i="1" s="1"/>
  <c r="J2116" i="1" s="1"/>
  <c r="J2115" i="1" s="1"/>
  <c r="J2114" i="1" s="1"/>
  <c r="J2113" i="1" s="1"/>
  <c r="J2112" i="1" s="1"/>
  <c r="J2111" i="1" s="1"/>
  <c r="J2110" i="1" s="1"/>
  <c r="J2109" i="1" s="1"/>
  <c r="J2108" i="1" s="1"/>
  <c r="J2107" i="1" s="1"/>
  <c r="J2106" i="1" s="1"/>
  <c r="J2105" i="1" s="1"/>
  <c r="J2104" i="1" s="1"/>
  <c r="J2103" i="1" s="1"/>
  <c r="J2102" i="1" s="1"/>
  <c r="J2101" i="1" s="1"/>
  <c r="J2100" i="1" s="1"/>
  <c r="J2099" i="1" s="1"/>
  <c r="J2098" i="1" s="1"/>
  <c r="J2097" i="1" s="1"/>
  <c r="J2096" i="1" s="1"/>
  <c r="J2095" i="1" s="1"/>
  <c r="J2094" i="1" s="1"/>
  <c r="J2093" i="1" s="1"/>
  <c r="J2092" i="1" s="1"/>
  <c r="J2091" i="1" s="1"/>
  <c r="J2090" i="1" s="1"/>
  <c r="J2089" i="1" s="1"/>
  <c r="J2088" i="1" s="1"/>
  <c r="J2087" i="1" s="1"/>
  <c r="J2086" i="1" s="1"/>
  <c r="J2085" i="1" s="1"/>
  <c r="J2084" i="1" s="1"/>
  <c r="J2083" i="1" s="1"/>
  <c r="J2082" i="1" s="1"/>
  <c r="J2081" i="1" s="1"/>
  <c r="J2080" i="1" s="1"/>
  <c r="J2079" i="1" s="1"/>
  <c r="J2078" i="1" s="1"/>
  <c r="J2077" i="1" s="1"/>
  <c r="J2076" i="1" s="1"/>
  <c r="J2075" i="1" s="1"/>
  <c r="J2074" i="1" s="1"/>
  <c r="J2073" i="1" s="1"/>
  <c r="J2072" i="1" s="1"/>
  <c r="J2071" i="1" s="1"/>
  <c r="J2070" i="1" s="1"/>
  <c r="J2069" i="1" s="1"/>
  <c r="J2068" i="1" s="1"/>
  <c r="J2067" i="1" s="1"/>
  <c r="J2066" i="1" s="1"/>
  <c r="J2065" i="1" s="1"/>
  <c r="J2064" i="1" s="1"/>
  <c r="J2063" i="1" s="1"/>
  <c r="J2062" i="1" s="1"/>
  <c r="J2061" i="1" s="1"/>
  <c r="J2060" i="1" s="1"/>
  <c r="J2059" i="1" s="1"/>
  <c r="J2058" i="1" s="1"/>
  <c r="J2057" i="1" s="1"/>
  <c r="J2056" i="1" s="1"/>
  <c r="J2055" i="1" s="1"/>
  <c r="J2054" i="1" s="1"/>
  <c r="J2053" i="1" s="1"/>
  <c r="J2052" i="1" s="1"/>
  <c r="J2051" i="1" s="1"/>
  <c r="J2050" i="1" s="1"/>
  <c r="J2049" i="1" s="1"/>
  <c r="J2048" i="1" s="1"/>
  <c r="J2047" i="1" s="1"/>
  <c r="J2046" i="1" s="1"/>
  <c r="J2045" i="1" s="1"/>
  <c r="J2044" i="1" s="1"/>
  <c r="J2043" i="1" s="1"/>
  <c r="J2042" i="1" s="1"/>
  <c r="J2041" i="1" s="1"/>
  <c r="J2040" i="1" s="1"/>
  <c r="J2039" i="1" s="1"/>
  <c r="J2038" i="1" s="1"/>
  <c r="J2037" i="1" s="1"/>
  <c r="J2036" i="1" s="1"/>
  <c r="J2035" i="1" s="1"/>
  <c r="J2034" i="1" s="1"/>
  <c r="J2033" i="1" s="1"/>
  <c r="J2032" i="1" s="1"/>
  <c r="J2031" i="1" s="1"/>
  <c r="J2030" i="1" s="1"/>
  <c r="J2029" i="1" s="1"/>
  <c r="J2028" i="1" s="1"/>
  <c r="J2027" i="1" s="1"/>
  <c r="J2026" i="1" s="1"/>
  <c r="J2025" i="1" s="1"/>
  <c r="J2024" i="1" s="1"/>
  <c r="J2023" i="1" s="1"/>
  <c r="J2022" i="1" s="1"/>
  <c r="J2021" i="1" s="1"/>
  <c r="J2020" i="1" s="1"/>
  <c r="J2019" i="1" s="1"/>
  <c r="J2018" i="1" s="1"/>
  <c r="J2017" i="1" s="1"/>
  <c r="J2016" i="1" s="1"/>
  <c r="J2015" i="1" s="1"/>
  <c r="J2014" i="1" s="1"/>
  <c r="J2013" i="1" s="1"/>
  <c r="J2012" i="1" s="1"/>
  <c r="J2011" i="1" s="1"/>
  <c r="J2010" i="1" s="1"/>
  <c r="J2009" i="1" s="1"/>
  <c r="J2008" i="1" s="1"/>
  <c r="J2007" i="1" s="1"/>
  <c r="J2006" i="1" s="1"/>
  <c r="J2005" i="1" s="1"/>
  <c r="J2004" i="1" s="1"/>
  <c r="J2003" i="1" s="1"/>
  <c r="J2002" i="1" s="1"/>
  <c r="J2001" i="1" s="1"/>
  <c r="J2000" i="1" s="1"/>
  <c r="J1999" i="1" s="1"/>
  <c r="J1998" i="1" s="1"/>
  <c r="J1997" i="1" s="1"/>
  <c r="J1996" i="1" s="1"/>
  <c r="J1995" i="1" s="1"/>
  <c r="J1994" i="1" s="1"/>
  <c r="J1993" i="1" s="1"/>
  <c r="J1992" i="1" s="1"/>
  <c r="J1988" i="1" s="1"/>
  <c r="J1987" i="1" s="1"/>
  <c r="J1986" i="1" s="1"/>
  <c r="J1985" i="1" s="1"/>
  <c r="J1984" i="1" s="1"/>
  <c r="J1983" i="1" s="1"/>
  <c r="J1982" i="1" s="1"/>
  <c r="J1981" i="1" s="1"/>
  <c r="J1980" i="1" s="1"/>
  <c r="J1979" i="1" s="1"/>
  <c r="J1978" i="1" s="1"/>
  <c r="J1977" i="1" s="1"/>
  <c r="J1976" i="1" s="1"/>
  <c r="J1975" i="1" s="1"/>
  <c r="J1974" i="1" s="1"/>
  <c r="J1973" i="1" s="1"/>
  <c r="J1972" i="1" s="1"/>
  <c r="J1971" i="1" s="1"/>
  <c r="J1970" i="1" s="1"/>
  <c r="J1969" i="1" s="1"/>
  <c r="J1968" i="1" s="1"/>
  <c r="J1967" i="1" s="1"/>
  <c r="J1966" i="1" s="1"/>
  <c r="J1965" i="1" s="1"/>
  <c r="J1964" i="1" s="1"/>
  <c r="J1963" i="1" s="1"/>
  <c r="J1962" i="1" s="1"/>
  <c r="J1961" i="1" s="1"/>
  <c r="J1960" i="1" s="1"/>
  <c r="J1959" i="1" s="1"/>
  <c r="J1958" i="1" s="1"/>
  <c r="J1957" i="1" s="1"/>
  <c r="J1956" i="1" s="1"/>
  <c r="J1955" i="1" s="1"/>
  <c r="J1954" i="1" s="1"/>
  <c r="J1953" i="1" s="1"/>
  <c r="J1952" i="1" s="1"/>
  <c r="J1951" i="1" s="1"/>
  <c r="J1950" i="1" s="1"/>
  <c r="J1949" i="1" s="1"/>
  <c r="J1948" i="1" s="1"/>
  <c r="J1947" i="1" s="1"/>
  <c r="J1946" i="1" s="1"/>
  <c r="J1945" i="1" s="1"/>
  <c r="J1944" i="1" s="1"/>
  <c r="J1943" i="1" s="1"/>
  <c r="J1942" i="1" s="1"/>
  <c r="J1941" i="1" s="1"/>
  <c r="J1940" i="1" s="1"/>
  <c r="J1939" i="1" s="1"/>
  <c r="J1938" i="1" s="1"/>
  <c r="J1937" i="1" s="1"/>
  <c r="J1936" i="1" s="1"/>
  <c r="J1935" i="1" s="1"/>
  <c r="J1934" i="1" s="1"/>
  <c r="J1933" i="1" s="1"/>
  <c r="J1932" i="1" s="1"/>
  <c r="J1931" i="1" s="1"/>
  <c r="J1930" i="1" s="1"/>
  <c r="J1929" i="1" s="1"/>
  <c r="J1928" i="1" s="1"/>
  <c r="J1927" i="1" s="1"/>
  <c r="J1926" i="1" s="1"/>
  <c r="J1925" i="1" s="1"/>
  <c r="J1924" i="1" s="1"/>
  <c r="J1923" i="1" s="1"/>
  <c r="J1922" i="1" s="1"/>
  <c r="J1921" i="1" s="1"/>
  <c r="J1920" i="1" s="1"/>
  <c r="J1919" i="1" s="1"/>
  <c r="J1918" i="1" s="1"/>
  <c r="J1917" i="1" s="1"/>
  <c r="J1916" i="1" s="1"/>
  <c r="J1915" i="1" s="1"/>
  <c r="J1914" i="1" s="1"/>
  <c r="J1913" i="1" s="1"/>
  <c r="J1912" i="1" s="1"/>
  <c r="J1911" i="1" s="1"/>
  <c r="J1910" i="1" s="1"/>
  <c r="J1909" i="1" s="1"/>
  <c r="J1908" i="1" s="1"/>
  <c r="J1907" i="1" s="1"/>
  <c r="J1906" i="1" s="1"/>
  <c r="J1905" i="1" s="1"/>
  <c r="J1904" i="1" s="1"/>
  <c r="J1903" i="1" s="1"/>
  <c r="J1902" i="1" s="1"/>
  <c r="J1901" i="1" s="1"/>
  <c r="J1900" i="1" s="1"/>
  <c r="J1899" i="1" s="1"/>
  <c r="J1898" i="1" s="1"/>
  <c r="J1897" i="1" s="1"/>
  <c r="J1896" i="1" s="1"/>
  <c r="J1895" i="1" s="1"/>
  <c r="J1894" i="1" s="1"/>
  <c r="J1893" i="1" s="1"/>
  <c r="J1892" i="1" s="1"/>
  <c r="J1891" i="1" s="1"/>
  <c r="J1890" i="1" s="1"/>
  <c r="J1889" i="1" s="1"/>
  <c r="J1888" i="1" s="1"/>
  <c r="J1887" i="1" s="1"/>
  <c r="J1886" i="1" s="1"/>
  <c r="J1885" i="1" s="1"/>
  <c r="J1884" i="1" s="1"/>
  <c r="J1883" i="1" s="1"/>
  <c r="J1882" i="1" s="1"/>
  <c r="J1881" i="1" s="1"/>
  <c r="J1880" i="1" s="1"/>
  <c r="J1879" i="1" s="1"/>
  <c r="J1878" i="1" s="1"/>
  <c r="J1877" i="1" s="1"/>
  <c r="J1876" i="1" s="1"/>
  <c r="J1875" i="1" s="1"/>
  <c r="J1874" i="1" s="1"/>
  <c r="J1873" i="1" s="1"/>
  <c r="J1872" i="1" s="1"/>
  <c r="J1871" i="1" s="1"/>
  <c r="J1870" i="1" s="1"/>
  <c r="J1869" i="1" s="1"/>
  <c r="J1868" i="1" s="1"/>
  <c r="J1867" i="1" s="1"/>
  <c r="J1866" i="1" s="1"/>
  <c r="J1865" i="1" s="1"/>
  <c r="J1864" i="1" s="1"/>
  <c r="J1863" i="1" s="1"/>
  <c r="J1862" i="1" s="1"/>
  <c r="J1861" i="1" s="1"/>
  <c r="J1860" i="1" s="1"/>
  <c r="J1859" i="1" s="1"/>
  <c r="J1858" i="1" s="1"/>
  <c r="J1857" i="1" s="1"/>
  <c r="J1856" i="1" s="1"/>
  <c r="J1855" i="1" s="1"/>
  <c r="J1854" i="1" s="1"/>
  <c r="J1853" i="1" s="1"/>
  <c r="J1852" i="1" s="1"/>
  <c r="J1851" i="1" s="1"/>
  <c r="J1850" i="1" s="1"/>
  <c r="J1849" i="1" s="1"/>
  <c r="J1848" i="1" s="1"/>
  <c r="J1847" i="1" s="1"/>
  <c r="J1846" i="1" s="1"/>
  <c r="J1845" i="1" s="1"/>
  <c r="J1844" i="1" s="1"/>
  <c r="J1843" i="1" s="1"/>
  <c r="J1842" i="1" s="1"/>
  <c r="J1841" i="1" s="1"/>
  <c r="J1840" i="1" s="1"/>
  <c r="J1839" i="1" s="1"/>
  <c r="J1838" i="1" s="1"/>
  <c r="J1837" i="1" s="1"/>
  <c r="J1836" i="1" s="1"/>
  <c r="J1835" i="1" s="1"/>
  <c r="J1834" i="1" s="1"/>
  <c r="J1833" i="1" s="1"/>
  <c r="J1832" i="1" s="1"/>
  <c r="J1831" i="1" s="1"/>
  <c r="J1830" i="1" s="1"/>
  <c r="J1829" i="1" s="1"/>
  <c r="J1828" i="1" s="1"/>
  <c r="J1827" i="1" s="1"/>
  <c r="J1826" i="1" s="1"/>
  <c r="J1825" i="1" s="1"/>
  <c r="J1824" i="1" s="1"/>
  <c r="J1823" i="1" s="1"/>
  <c r="J1822" i="1" s="1"/>
  <c r="J1821" i="1" s="1"/>
  <c r="J1820" i="1" s="1"/>
  <c r="J1819" i="1" s="1"/>
  <c r="J1818" i="1" s="1"/>
  <c r="J1817" i="1" s="1"/>
  <c r="J1816" i="1" s="1"/>
  <c r="J1815" i="1" s="1"/>
  <c r="J1814" i="1" s="1"/>
  <c r="J1813" i="1" s="1"/>
  <c r="J1812" i="1" s="1"/>
  <c r="J1811" i="1" s="1"/>
  <c r="J1810" i="1" s="1"/>
  <c r="J1809" i="1" s="1"/>
  <c r="J1808" i="1" s="1"/>
  <c r="J1807" i="1" s="1"/>
  <c r="J1806" i="1" s="1"/>
  <c r="J1805" i="1" s="1"/>
  <c r="J1804" i="1" s="1"/>
  <c r="J1803" i="1" s="1"/>
  <c r="J1802" i="1" s="1"/>
  <c r="J1801" i="1" s="1"/>
  <c r="J1800" i="1" s="1"/>
  <c r="J1799" i="1" s="1"/>
  <c r="J1798" i="1" s="1"/>
  <c r="J1797" i="1" s="1"/>
  <c r="J1796" i="1" s="1"/>
  <c r="J1795" i="1" s="1"/>
  <c r="J1794" i="1" s="1"/>
  <c r="J1793" i="1" s="1"/>
  <c r="J1792" i="1" s="1"/>
  <c r="J1791" i="1" s="1"/>
  <c r="J1790" i="1" s="1"/>
  <c r="J1789" i="1" s="1"/>
  <c r="J1788" i="1" s="1"/>
  <c r="J1787" i="1" s="1"/>
  <c r="J1786" i="1" s="1"/>
  <c r="J1785" i="1" s="1"/>
  <c r="J1784" i="1" s="1"/>
  <c r="J1783" i="1" s="1"/>
  <c r="J1782" i="1" s="1"/>
  <c r="J1781" i="1" s="1"/>
  <c r="J1780" i="1" s="1"/>
  <c r="J1779" i="1" s="1"/>
  <c r="J1778" i="1" s="1"/>
  <c r="J1777" i="1" s="1"/>
  <c r="J1776" i="1" s="1"/>
  <c r="J1775" i="1" s="1"/>
  <c r="J1774" i="1" s="1"/>
  <c r="J1773" i="1" s="1"/>
  <c r="J1772" i="1" s="1"/>
  <c r="J1771" i="1" s="1"/>
  <c r="J1770" i="1" s="1"/>
  <c r="J1769" i="1" s="1"/>
  <c r="J1768" i="1" s="1"/>
  <c r="J1767" i="1" s="1"/>
  <c r="J1766" i="1" s="1"/>
  <c r="J1765" i="1" s="1"/>
  <c r="J1764" i="1" s="1"/>
  <c r="J1763" i="1" s="1"/>
  <c r="J1762" i="1" s="1"/>
  <c r="J1761" i="1" s="1"/>
  <c r="J1760" i="1" s="1"/>
  <c r="J1759" i="1" s="1"/>
  <c r="J1758" i="1" s="1"/>
  <c r="J1757" i="1" s="1"/>
  <c r="J1756" i="1" s="1"/>
  <c r="J1755" i="1" s="1"/>
  <c r="J1754" i="1" s="1"/>
  <c r="J1753" i="1" s="1"/>
  <c r="J1752" i="1" s="1"/>
  <c r="J1751" i="1" s="1"/>
  <c r="J1750" i="1" s="1"/>
  <c r="J1749" i="1" s="1"/>
  <c r="J1748" i="1" s="1"/>
  <c r="J1747" i="1" s="1"/>
  <c r="J1746" i="1" s="1"/>
  <c r="J1745" i="1" s="1"/>
  <c r="J1744" i="1" s="1"/>
  <c r="J1743" i="1" s="1"/>
  <c r="J1742" i="1" s="1"/>
  <c r="J1741" i="1" s="1"/>
  <c r="J1740" i="1" s="1"/>
  <c r="J1739" i="1" s="1"/>
  <c r="J1738" i="1" s="1"/>
  <c r="J1737" i="1" s="1"/>
  <c r="J1736" i="1" s="1"/>
  <c r="J1735" i="1" s="1"/>
  <c r="J1734" i="1" s="1"/>
  <c r="J1733" i="1" s="1"/>
  <c r="J1732" i="1" s="1"/>
  <c r="J1731" i="1" s="1"/>
  <c r="J1730" i="1" s="1"/>
  <c r="J1729" i="1" s="1"/>
  <c r="J1728" i="1" s="1"/>
  <c r="J1727" i="1" s="1"/>
  <c r="J1726" i="1" s="1"/>
  <c r="J1725" i="1" s="1"/>
  <c r="J1724" i="1" s="1"/>
  <c r="J1721" i="1" s="1"/>
  <c r="J1720" i="1" s="1"/>
  <c r="J1719" i="1" s="1"/>
  <c r="J1718" i="1" s="1"/>
  <c r="J1717" i="1" s="1"/>
  <c r="J1716" i="1" s="1"/>
  <c r="J1715" i="1" s="1"/>
  <c r="J1714" i="1" s="1"/>
  <c r="J1713" i="1" s="1"/>
  <c r="J1712" i="1" s="1"/>
  <c r="J1711" i="1" s="1"/>
  <c r="J1710" i="1" s="1"/>
  <c r="J1709" i="1" s="1"/>
  <c r="J1708" i="1" s="1"/>
  <c r="J1707" i="1" s="1"/>
  <c r="J1706" i="1" s="1"/>
  <c r="J1705" i="1" s="1"/>
  <c r="J1704" i="1" s="1"/>
  <c r="J1703" i="1" s="1"/>
  <c r="J1702" i="1" s="1"/>
  <c r="J1701" i="1" s="1"/>
  <c r="J1700" i="1" s="1"/>
  <c r="J1699" i="1" s="1"/>
  <c r="J1698" i="1" s="1"/>
  <c r="J1697" i="1" s="1"/>
  <c r="J1696" i="1" s="1"/>
  <c r="J1695" i="1" s="1"/>
  <c r="J1694" i="1" s="1"/>
  <c r="J1693" i="1" s="1"/>
  <c r="J1692" i="1" s="1"/>
  <c r="J1691" i="1" s="1"/>
  <c r="J1690" i="1" s="1"/>
  <c r="J1689" i="1" s="1"/>
  <c r="J1688" i="1" s="1"/>
  <c r="J1687" i="1" s="1"/>
  <c r="J1686" i="1" s="1"/>
  <c r="J1685" i="1" s="1"/>
  <c r="J1684" i="1" s="1"/>
  <c r="J1683" i="1" s="1"/>
  <c r="J1682" i="1" s="1"/>
  <c r="J1681" i="1" s="1"/>
  <c r="J1680" i="1" s="1"/>
  <c r="J1679" i="1" s="1"/>
  <c r="J1678" i="1" s="1"/>
  <c r="J1677" i="1" s="1"/>
  <c r="J1676" i="1" s="1"/>
  <c r="J1675" i="1" s="1"/>
  <c r="J1674" i="1" s="1"/>
  <c r="J1673" i="1" s="1"/>
  <c r="J1672" i="1" s="1"/>
  <c r="J1671" i="1" s="1"/>
  <c r="J1670" i="1" s="1"/>
  <c r="J1669" i="1" s="1"/>
  <c r="J1668" i="1" s="1"/>
  <c r="J1667" i="1" s="1"/>
  <c r="J1666" i="1" s="1"/>
  <c r="J1665" i="1" s="1"/>
  <c r="J1664" i="1" s="1"/>
  <c r="J1663" i="1" s="1"/>
  <c r="J1662" i="1" s="1"/>
  <c r="J1661" i="1" s="1"/>
  <c r="J1660" i="1" s="1"/>
  <c r="J1659" i="1" s="1"/>
  <c r="J1658" i="1" s="1"/>
  <c r="J1657" i="1" s="1"/>
  <c r="J1656" i="1" s="1"/>
  <c r="J1655" i="1" s="1"/>
  <c r="J1654" i="1" s="1"/>
  <c r="J1653" i="1" s="1"/>
  <c r="J1652" i="1" s="1"/>
  <c r="J1651" i="1" s="1"/>
  <c r="J1650" i="1" s="1"/>
  <c r="J1649" i="1" s="1"/>
  <c r="J1648" i="1" s="1"/>
  <c r="J1647" i="1" s="1"/>
  <c r="J1646" i="1" s="1"/>
  <c r="J1645" i="1" s="1"/>
  <c r="J1644" i="1" s="1"/>
  <c r="J1643" i="1" s="1"/>
  <c r="J1642" i="1" s="1"/>
  <c r="J1641" i="1" s="1"/>
  <c r="J1640" i="1" s="1"/>
  <c r="J1639" i="1" s="1"/>
  <c r="J1638" i="1" s="1"/>
  <c r="J1637" i="1" s="1"/>
  <c r="J1636" i="1" s="1"/>
  <c r="J1635" i="1" s="1"/>
  <c r="J1634" i="1" s="1"/>
  <c r="J1633" i="1" s="1"/>
  <c r="J1632" i="1" s="1"/>
  <c r="J1631" i="1" s="1"/>
  <c r="J1630" i="1" s="1"/>
  <c r="J1629" i="1" s="1"/>
  <c r="J1628" i="1" s="1"/>
  <c r="J1627" i="1" s="1"/>
  <c r="J1626" i="1" s="1"/>
  <c r="J1625" i="1" s="1"/>
  <c r="J1624" i="1" s="1"/>
  <c r="J1623" i="1" s="1"/>
  <c r="J1622" i="1" s="1"/>
  <c r="J1621" i="1" s="1"/>
  <c r="J1620" i="1" s="1"/>
  <c r="J1619" i="1" s="1"/>
  <c r="J1618" i="1" s="1"/>
  <c r="J1617" i="1" s="1"/>
  <c r="J1616" i="1" s="1"/>
  <c r="J1615" i="1" s="1"/>
  <c r="J1614" i="1" s="1"/>
  <c r="J1613" i="1" s="1"/>
  <c r="J1612" i="1" s="1"/>
  <c r="J1611" i="1" s="1"/>
  <c r="J1610" i="1" s="1"/>
  <c r="J1609" i="1" s="1"/>
  <c r="J1608" i="1" s="1"/>
  <c r="J1607" i="1" s="1"/>
  <c r="J1606" i="1" s="1"/>
  <c r="J1605" i="1" s="1"/>
  <c r="J1604" i="1" s="1"/>
  <c r="J1603" i="1" s="1"/>
  <c r="J1602" i="1" s="1"/>
  <c r="J1601" i="1" s="1"/>
  <c r="J1600" i="1" s="1"/>
  <c r="J1599" i="1" s="1"/>
  <c r="J1598" i="1" s="1"/>
  <c r="J1597" i="1" s="1"/>
  <c r="J1596" i="1" s="1"/>
  <c r="J1595" i="1" s="1"/>
  <c r="J1594" i="1" s="1"/>
  <c r="J1593" i="1" s="1"/>
  <c r="J1592" i="1" s="1"/>
  <c r="J1591" i="1" s="1"/>
  <c r="J1590" i="1" s="1"/>
  <c r="J1589" i="1" s="1"/>
  <c r="J1588" i="1" s="1"/>
  <c r="J1587" i="1" s="1"/>
  <c r="J1586" i="1" s="1"/>
  <c r="J1585" i="1" s="1"/>
  <c r="J1584" i="1" s="1"/>
  <c r="J1583" i="1" s="1"/>
  <c r="J1582" i="1" s="1"/>
  <c r="J1581" i="1" s="1"/>
  <c r="J1580" i="1" s="1"/>
  <c r="J1579" i="1" s="1"/>
  <c r="J1578" i="1" s="1"/>
  <c r="J1577" i="1" s="1"/>
  <c r="J1576" i="1" s="1"/>
  <c r="J1575" i="1" s="1"/>
  <c r="J1574" i="1" s="1"/>
  <c r="J1573" i="1" s="1"/>
  <c r="J1572" i="1" s="1"/>
  <c r="J1571" i="1" s="1"/>
  <c r="J1570" i="1" s="1"/>
  <c r="J1569" i="1" s="1"/>
  <c r="J1568" i="1" s="1"/>
  <c r="J1567" i="1" s="1"/>
  <c r="J1566" i="1" s="1"/>
  <c r="J1565" i="1" s="1"/>
  <c r="J1564" i="1" s="1"/>
  <c r="J1563" i="1" s="1"/>
  <c r="J1562" i="1" s="1"/>
  <c r="J1561" i="1" s="1"/>
  <c r="J1560" i="1" s="1"/>
  <c r="J1559" i="1" s="1"/>
  <c r="J1558" i="1" s="1"/>
  <c r="J1557" i="1" s="1"/>
  <c r="J1556" i="1" s="1"/>
  <c r="J1555" i="1" s="1"/>
  <c r="J1554" i="1" s="1"/>
  <c r="J1553" i="1" s="1"/>
  <c r="J1552" i="1" s="1"/>
  <c r="J1551" i="1" s="1"/>
  <c r="J1550" i="1" s="1"/>
  <c r="J1549" i="1" s="1"/>
  <c r="J1548" i="1" s="1"/>
  <c r="J1547" i="1" s="1"/>
  <c r="J1546" i="1" s="1"/>
  <c r="J1545" i="1" s="1"/>
  <c r="J1544" i="1" s="1"/>
  <c r="J1543" i="1" s="1"/>
  <c r="J1542" i="1" s="1"/>
  <c r="J1541" i="1" s="1"/>
  <c r="J1540" i="1" s="1"/>
  <c r="J1539" i="1" s="1"/>
  <c r="J1538" i="1" s="1"/>
  <c r="J1537" i="1" s="1"/>
  <c r="J1536" i="1" s="1"/>
  <c r="J1535" i="1" s="1"/>
  <c r="J1534" i="1" s="1"/>
  <c r="J1533" i="1" s="1"/>
  <c r="J1532" i="1" s="1"/>
  <c r="J1531" i="1" s="1"/>
  <c r="J1530" i="1" s="1"/>
  <c r="J1529" i="1" s="1"/>
  <c r="J1528" i="1" s="1"/>
  <c r="J1527" i="1" s="1"/>
  <c r="J1526" i="1" s="1"/>
  <c r="J1525" i="1" s="1"/>
  <c r="J1524" i="1" s="1"/>
  <c r="J1523" i="1" s="1"/>
  <c r="J1522" i="1" s="1"/>
  <c r="J1521" i="1" s="1"/>
  <c r="J1520" i="1" s="1"/>
  <c r="J1519" i="1" s="1"/>
  <c r="J1518" i="1" s="1"/>
  <c r="J1517" i="1" s="1"/>
  <c r="J1516" i="1" s="1"/>
  <c r="J1515" i="1" s="1"/>
  <c r="J1514" i="1" s="1"/>
  <c r="J1513" i="1" s="1"/>
  <c r="J1512" i="1" s="1"/>
  <c r="J1511" i="1" s="1"/>
  <c r="J1510" i="1" s="1"/>
  <c r="J1509" i="1" s="1"/>
  <c r="J1508" i="1" s="1"/>
  <c r="J1507" i="1" s="1"/>
  <c r="J1506" i="1" s="1"/>
  <c r="J1505" i="1" s="1"/>
  <c r="J1504" i="1" s="1"/>
  <c r="J1503" i="1" s="1"/>
  <c r="J1502" i="1" s="1"/>
  <c r="J1501" i="1" s="1"/>
  <c r="J1500" i="1" s="1"/>
  <c r="J1499" i="1" s="1"/>
  <c r="J1498" i="1" s="1"/>
  <c r="J1497" i="1" s="1"/>
  <c r="J1496" i="1" s="1"/>
  <c r="J1495" i="1" s="1"/>
  <c r="J1494" i="1" s="1"/>
  <c r="J1493" i="1" s="1"/>
  <c r="J1492" i="1" s="1"/>
  <c r="J1491" i="1" s="1"/>
  <c r="J1490" i="1" s="1"/>
  <c r="J1489" i="1" s="1"/>
  <c r="J1488" i="1" s="1"/>
  <c r="J1487" i="1" s="1"/>
  <c r="J1486" i="1" s="1"/>
  <c r="J1485" i="1" s="1"/>
  <c r="J1484" i="1" s="1"/>
  <c r="J1483" i="1" s="1"/>
  <c r="J1482" i="1" s="1"/>
  <c r="J1481" i="1" s="1"/>
  <c r="J1480" i="1" s="1"/>
  <c r="J1479" i="1" s="1"/>
  <c r="J1478" i="1" s="1"/>
  <c r="J1477" i="1" s="1"/>
  <c r="J1476" i="1" s="1"/>
  <c r="J1475" i="1" s="1"/>
  <c r="J1474" i="1" s="1"/>
  <c r="J1473" i="1" s="1"/>
  <c r="J1472" i="1" s="1"/>
  <c r="J1471" i="1" s="1"/>
  <c r="J1470" i="1" s="1"/>
  <c r="J1469" i="1" s="1"/>
  <c r="J1468" i="1" s="1"/>
  <c r="J1467" i="1" s="1"/>
  <c r="J1466" i="1" s="1"/>
  <c r="J1465" i="1" s="1"/>
  <c r="J1464" i="1" s="1"/>
  <c r="J1463" i="1" s="1"/>
  <c r="J1462" i="1" s="1"/>
  <c r="J1461" i="1" s="1"/>
  <c r="J1460" i="1" s="1"/>
  <c r="J1459" i="1" s="1"/>
  <c r="J1458" i="1" s="1"/>
  <c r="J1457" i="1" s="1"/>
  <c r="J1456" i="1" s="1"/>
  <c r="J1455" i="1" s="1"/>
  <c r="J1454" i="1" s="1"/>
  <c r="J1453" i="1" s="1"/>
  <c r="J1452" i="1" s="1"/>
  <c r="J1451" i="1" s="1"/>
  <c r="J1450" i="1" s="1"/>
  <c r="J1449" i="1" s="1"/>
  <c r="J1448" i="1" s="1"/>
  <c r="J1447" i="1" s="1"/>
  <c r="J1446" i="1" s="1"/>
  <c r="J1445" i="1" s="1"/>
  <c r="J1442" i="1" s="1"/>
  <c r="J1441" i="1" s="1"/>
  <c r="J1440" i="1" s="1"/>
  <c r="J1439" i="1" s="1"/>
  <c r="J1438" i="1" s="1"/>
  <c r="J1437" i="1" s="1"/>
  <c r="J1436" i="1" s="1"/>
  <c r="J1435" i="1" s="1"/>
  <c r="J1434" i="1" s="1"/>
  <c r="J1433" i="1" s="1"/>
  <c r="J1432" i="1" s="1"/>
  <c r="J1431" i="1" s="1"/>
  <c r="J1430" i="1" s="1"/>
  <c r="J1429" i="1" s="1"/>
  <c r="J1428" i="1" s="1"/>
  <c r="J1427" i="1" s="1"/>
  <c r="J1426" i="1" s="1"/>
  <c r="J1425" i="1" s="1"/>
  <c r="J1424" i="1" s="1"/>
  <c r="J1423" i="1" s="1"/>
  <c r="J1422" i="1" s="1"/>
  <c r="J1421" i="1" s="1"/>
  <c r="J1420" i="1" s="1"/>
  <c r="J1419" i="1" s="1"/>
  <c r="J1418" i="1" s="1"/>
  <c r="J1417" i="1" s="1"/>
  <c r="J1416" i="1" s="1"/>
  <c r="J1415" i="1" s="1"/>
  <c r="J1414" i="1" s="1"/>
  <c r="J1413" i="1" s="1"/>
  <c r="J1412" i="1" s="1"/>
  <c r="J1411" i="1" s="1"/>
  <c r="J1410" i="1" s="1"/>
  <c r="J1409" i="1" s="1"/>
  <c r="J1408" i="1" s="1"/>
  <c r="J1407" i="1" s="1"/>
  <c r="J1406" i="1" s="1"/>
  <c r="J1405" i="1" s="1"/>
  <c r="J1404" i="1" s="1"/>
  <c r="J1403" i="1" s="1"/>
  <c r="J1402" i="1" s="1"/>
  <c r="J1401" i="1" s="1"/>
  <c r="J1400" i="1" s="1"/>
  <c r="J1399" i="1" s="1"/>
  <c r="J1398" i="1" s="1"/>
  <c r="J1397" i="1" s="1"/>
  <c r="J1396" i="1" s="1"/>
  <c r="J1395" i="1" s="1"/>
  <c r="J1394" i="1" s="1"/>
  <c r="J1393" i="1" s="1"/>
  <c r="J1392" i="1" s="1"/>
  <c r="J1391" i="1" s="1"/>
  <c r="J1390" i="1" s="1"/>
  <c r="J1389" i="1" s="1"/>
  <c r="J1388" i="1" s="1"/>
  <c r="J1387" i="1" s="1"/>
  <c r="J1386" i="1" s="1"/>
  <c r="J1385" i="1" s="1"/>
  <c r="J1384" i="1" s="1"/>
  <c r="J1383" i="1" s="1"/>
  <c r="J1382" i="1" s="1"/>
  <c r="J1381" i="1" s="1"/>
  <c r="J1380" i="1" s="1"/>
  <c r="J1379" i="1" s="1"/>
  <c r="J1378" i="1" s="1"/>
  <c r="J1377" i="1" s="1"/>
  <c r="J1376" i="1" s="1"/>
  <c r="J1375" i="1" s="1"/>
  <c r="J1374" i="1" s="1"/>
  <c r="J1373" i="1" s="1"/>
  <c r="J1372" i="1" s="1"/>
  <c r="J1371" i="1" s="1"/>
  <c r="J1370" i="1" s="1"/>
  <c r="J1369" i="1" s="1"/>
  <c r="J1368" i="1" s="1"/>
  <c r="J1367" i="1" s="1"/>
  <c r="J1366" i="1" s="1"/>
  <c r="J1365" i="1" s="1"/>
  <c r="J1364" i="1" s="1"/>
  <c r="J1363" i="1" s="1"/>
  <c r="J1362" i="1" s="1"/>
  <c r="J1361" i="1" s="1"/>
  <c r="J1360" i="1" s="1"/>
  <c r="J1359" i="1" s="1"/>
  <c r="J1358" i="1" s="1"/>
  <c r="J1357" i="1" s="1"/>
  <c r="J1356" i="1" s="1"/>
  <c r="J1355" i="1" s="1"/>
  <c r="J1354" i="1" s="1"/>
  <c r="J1353" i="1" s="1"/>
  <c r="J1352" i="1" s="1"/>
  <c r="J1351" i="1" s="1"/>
  <c r="J1350" i="1" s="1"/>
  <c r="J1349" i="1" s="1"/>
  <c r="J1348" i="1" s="1"/>
  <c r="J1347" i="1" s="1"/>
  <c r="J1346" i="1" s="1"/>
  <c r="J1345" i="1" s="1"/>
  <c r="J1344" i="1" s="1"/>
  <c r="J1343" i="1" s="1"/>
  <c r="J1342" i="1" s="1"/>
  <c r="J1341" i="1" s="1"/>
  <c r="J1340" i="1" s="1"/>
  <c r="J1339" i="1" s="1"/>
  <c r="J1338" i="1" s="1"/>
  <c r="J1337" i="1" s="1"/>
  <c r="J1336" i="1" s="1"/>
  <c r="J1335" i="1" s="1"/>
  <c r="J1334" i="1" s="1"/>
  <c r="J1333" i="1" s="1"/>
  <c r="J1332" i="1" s="1"/>
  <c r="J1331" i="1" s="1"/>
  <c r="J1330" i="1" s="1"/>
  <c r="J1329" i="1" s="1"/>
  <c r="J1328" i="1" s="1"/>
  <c r="J1327" i="1" s="1"/>
  <c r="J1326" i="1" s="1"/>
  <c r="J1325" i="1" s="1"/>
  <c r="J1324" i="1" s="1"/>
  <c r="J1323" i="1" s="1"/>
  <c r="J1322" i="1" s="1"/>
  <c r="J1321" i="1" s="1"/>
  <c r="J1320" i="1" s="1"/>
  <c r="J1319" i="1" s="1"/>
  <c r="J1318" i="1" s="1"/>
  <c r="J1317" i="1" s="1"/>
  <c r="J1316" i="1" s="1"/>
  <c r="J1315" i="1" s="1"/>
  <c r="J1314" i="1" s="1"/>
  <c r="J1313" i="1" s="1"/>
  <c r="J1312" i="1" s="1"/>
  <c r="J1311" i="1" s="1"/>
  <c r="J1310" i="1" s="1"/>
  <c r="J1309" i="1" s="1"/>
  <c r="J1308" i="1" s="1"/>
  <c r="J1307" i="1" s="1"/>
  <c r="J1306" i="1" s="1"/>
  <c r="J1305" i="1" s="1"/>
  <c r="J1304" i="1" s="1"/>
  <c r="J1303" i="1" s="1"/>
  <c r="J1302" i="1" s="1"/>
  <c r="J1301" i="1" s="1"/>
  <c r="J1300" i="1" s="1"/>
  <c r="J1299" i="1" s="1"/>
  <c r="J1298" i="1" s="1"/>
  <c r="J1297" i="1" s="1"/>
  <c r="J1296" i="1" s="1"/>
  <c r="J1295" i="1" s="1"/>
  <c r="J1294" i="1" s="1"/>
  <c r="J1293" i="1" s="1"/>
  <c r="J1292" i="1" s="1"/>
  <c r="J1291" i="1" s="1"/>
  <c r="J1290" i="1" s="1"/>
  <c r="J1289" i="1" s="1"/>
  <c r="J1288" i="1" s="1"/>
  <c r="J1287" i="1" s="1"/>
  <c r="J1286" i="1" s="1"/>
  <c r="J1285" i="1" s="1"/>
  <c r="J1284" i="1" s="1"/>
  <c r="J1283" i="1" s="1"/>
  <c r="J1282" i="1" s="1"/>
  <c r="J1281" i="1" s="1"/>
  <c r="J1280" i="1" s="1"/>
  <c r="J1279" i="1" s="1"/>
  <c r="J1278" i="1" s="1"/>
  <c r="J1277" i="1" s="1"/>
  <c r="J1276" i="1" s="1"/>
  <c r="J1275" i="1" s="1"/>
  <c r="J1274" i="1" s="1"/>
  <c r="J1273" i="1" s="1"/>
  <c r="J1272" i="1" s="1"/>
  <c r="J1271" i="1" s="1"/>
  <c r="J1270" i="1" s="1"/>
  <c r="J1269" i="1" s="1"/>
  <c r="J1268" i="1" s="1"/>
  <c r="J1267" i="1" s="1"/>
  <c r="J1266" i="1" s="1"/>
  <c r="J1265" i="1" s="1"/>
  <c r="J1264" i="1" s="1"/>
  <c r="J1263" i="1" s="1"/>
  <c r="J1262" i="1" s="1"/>
  <c r="J1261" i="1" s="1"/>
  <c r="J1260" i="1" s="1"/>
  <c r="J1259" i="1" s="1"/>
  <c r="J1258" i="1" s="1"/>
  <c r="J1257" i="1" s="1"/>
  <c r="J1256" i="1" s="1"/>
  <c r="J1255" i="1" s="1"/>
  <c r="J1254" i="1" s="1"/>
  <c r="J1253" i="1" s="1"/>
  <c r="J1252" i="1" s="1"/>
  <c r="J1251" i="1" s="1"/>
  <c r="J1250" i="1" s="1"/>
  <c r="J1249" i="1" s="1"/>
  <c r="J1248" i="1" s="1"/>
  <c r="J1247" i="1" s="1"/>
  <c r="J1246" i="1" s="1"/>
  <c r="J1245" i="1" s="1"/>
  <c r="J1244" i="1" s="1"/>
  <c r="J1243" i="1" s="1"/>
  <c r="J1242" i="1" s="1"/>
  <c r="J1241" i="1" s="1"/>
  <c r="J1240" i="1" s="1"/>
  <c r="J1239" i="1" s="1"/>
  <c r="J1238" i="1" s="1"/>
  <c r="J1237" i="1" s="1"/>
  <c r="J1236" i="1" s="1"/>
  <c r="J1235" i="1" s="1"/>
  <c r="J1234" i="1" s="1"/>
  <c r="J1233" i="1" s="1"/>
  <c r="J1232" i="1" s="1"/>
  <c r="J1231" i="1" s="1"/>
  <c r="J1230" i="1" s="1"/>
  <c r="J1229" i="1" s="1"/>
  <c r="J1228" i="1" s="1"/>
  <c r="J1227" i="1" s="1"/>
  <c r="J1226" i="1" s="1"/>
  <c r="J1225" i="1" s="1"/>
  <c r="J1224" i="1" s="1"/>
  <c r="J1223" i="1" s="1"/>
  <c r="J1222" i="1" s="1"/>
  <c r="J1221" i="1" s="1"/>
  <c r="J1220" i="1" s="1"/>
  <c r="J1219" i="1" s="1"/>
  <c r="J1218" i="1" s="1"/>
  <c r="J1217" i="1" s="1"/>
  <c r="J1216" i="1" s="1"/>
  <c r="J1215" i="1" s="1"/>
  <c r="J1214" i="1" s="1"/>
  <c r="J1213" i="1" s="1"/>
  <c r="J1212" i="1" s="1"/>
  <c r="J1211" i="1" s="1"/>
  <c r="J1210" i="1" s="1"/>
  <c r="J1209" i="1" s="1"/>
  <c r="J1208" i="1" s="1"/>
  <c r="J1207" i="1" s="1"/>
  <c r="J1206" i="1" s="1"/>
  <c r="J1205" i="1" s="1"/>
  <c r="J1204" i="1" s="1"/>
  <c r="J1203" i="1" s="1"/>
  <c r="J1202" i="1" s="1"/>
  <c r="J1199" i="1" s="1"/>
  <c r="J1198" i="1" s="1"/>
  <c r="J1197" i="1" s="1"/>
  <c r="J1196" i="1" s="1"/>
  <c r="J1195" i="1" s="1"/>
  <c r="J1194" i="1" s="1"/>
  <c r="J1193" i="1" s="1"/>
  <c r="J1192" i="1" s="1"/>
  <c r="J1191" i="1" s="1"/>
  <c r="J1190" i="1" s="1"/>
  <c r="J1189" i="1" s="1"/>
  <c r="J1188" i="1" s="1"/>
  <c r="J1187" i="1" s="1"/>
  <c r="J1186" i="1" s="1"/>
  <c r="J1185" i="1" s="1"/>
  <c r="J1184" i="1" s="1"/>
  <c r="J1183" i="1" s="1"/>
  <c r="J1182" i="1" s="1"/>
  <c r="J1181" i="1" s="1"/>
  <c r="J1180" i="1" s="1"/>
  <c r="J1179" i="1" s="1"/>
  <c r="J1178" i="1" s="1"/>
  <c r="J1177" i="1" s="1"/>
  <c r="J1176" i="1" s="1"/>
  <c r="J1175" i="1" s="1"/>
  <c r="J1174" i="1" s="1"/>
  <c r="J1173" i="1" s="1"/>
  <c r="J1172" i="1" s="1"/>
  <c r="J1171" i="1" s="1"/>
  <c r="J1170" i="1" s="1"/>
  <c r="J1169" i="1" s="1"/>
  <c r="J1168" i="1" s="1"/>
  <c r="J1167" i="1" s="1"/>
  <c r="J1166" i="1" s="1"/>
  <c r="J1165" i="1" s="1"/>
  <c r="J1164" i="1" s="1"/>
  <c r="J1163" i="1" s="1"/>
  <c r="J1162" i="1" s="1"/>
  <c r="J1161" i="1" s="1"/>
  <c r="J1160" i="1" s="1"/>
  <c r="J1159" i="1" s="1"/>
  <c r="J1158" i="1" s="1"/>
  <c r="J1157" i="1" s="1"/>
  <c r="J1156" i="1" s="1"/>
  <c r="J1155" i="1" s="1"/>
  <c r="J1154" i="1" s="1"/>
  <c r="J1153" i="1" s="1"/>
  <c r="J1152" i="1" s="1"/>
  <c r="J1151" i="1" s="1"/>
  <c r="J1150" i="1" s="1"/>
  <c r="J1149" i="1" s="1"/>
  <c r="J1148" i="1" s="1"/>
  <c r="J1147" i="1" s="1"/>
  <c r="J1146" i="1" s="1"/>
  <c r="J1145" i="1" s="1"/>
  <c r="J1144" i="1" s="1"/>
  <c r="J1143" i="1" s="1"/>
  <c r="J1142" i="1" s="1"/>
  <c r="J1141" i="1" s="1"/>
  <c r="J1140" i="1" s="1"/>
  <c r="J1139" i="1" s="1"/>
  <c r="J1138" i="1" s="1"/>
  <c r="J1137" i="1" s="1"/>
  <c r="J1136" i="1" s="1"/>
  <c r="J1135" i="1" s="1"/>
  <c r="J1134" i="1" s="1"/>
  <c r="J1133" i="1" s="1"/>
  <c r="J1132" i="1" s="1"/>
  <c r="J1131" i="1" s="1"/>
  <c r="J1130" i="1" s="1"/>
  <c r="J1129" i="1" s="1"/>
  <c r="J1128" i="1" s="1"/>
  <c r="J1127" i="1" s="1"/>
  <c r="J1126" i="1" s="1"/>
  <c r="J1125" i="1" s="1"/>
  <c r="J1124" i="1" s="1"/>
  <c r="J1123" i="1" s="1"/>
  <c r="J1122" i="1" s="1"/>
  <c r="J1121" i="1" s="1"/>
  <c r="J1120" i="1" s="1"/>
  <c r="J1119" i="1" s="1"/>
  <c r="J1118" i="1" s="1"/>
  <c r="J1117" i="1" s="1"/>
  <c r="J1116" i="1" s="1"/>
  <c r="J1115" i="1" s="1"/>
  <c r="J1114" i="1" s="1"/>
  <c r="J1113" i="1" s="1"/>
  <c r="J1112" i="1" s="1"/>
  <c r="J1111" i="1" s="1"/>
  <c r="J1110" i="1" s="1"/>
  <c r="J1109" i="1" s="1"/>
  <c r="J1108" i="1" s="1"/>
  <c r="J1107" i="1" s="1"/>
  <c r="J1106" i="1" s="1"/>
  <c r="J1105" i="1" s="1"/>
  <c r="J1104" i="1" s="1"/>
  <c r="J1103" i="1" s="1"/>
  <c r="J1102" i="1" s="1"/>
  <c r="J1101" i="1" s="1"/>
  <c r="J1100" i="1" s="1"/>
  <c r="J1099" i="1" s="1"/>
  <c r="J1098" i="1" s="1"/>
  <c r="J1097" i="1" s="1"/>
  <c r="J1096" i="1" s="1"/>
  <c r="J1095" i="1" s="1"/>
  <c r="J1094" i="1" s="1"/>
  <c r="J1093" i="1" s="1"/>
  <c r="J1092" i="1" s="1"/>
  <c r="J1091" i="1" s="1"/>
  <c r="J1090" i="1" s="1"/>
  <c r="J1089" i="1" s="1"/>
  <c r="J1088" i="1" s="1"/>
  <c r="J1087" i="1" s="1"/>
  <c r="J1086" i="1" s="1"/>
  <c r="J1085" i="1" s="1"/>
  <c r="J1084" i="1" s="1"/>
  <c r="J1083" i="1" s="1"/>
  <c r="J1082" i="1" s="1"/>
  <c r="J1081" i="1" s="1"/>
  <c r="J1080" i="1" s="1"/>
  <c r="J1079" i="1" s="1"/>
  <c r="J1078" i="1" s="1"/>
  <c r="J1077" i="1" s="1"/>
  <c r="J1076" i="1" s="1"/>
  <c r="J1075" i="1" s="1"/>
  <c r="J1074" i="1" s="1"/>
  <c r="J1073" i="1" s="1"/>
  <c r="J1072" i="1" s="1"/>
  <c r="J1071" i="1" s="1"/>
  <c r="J1070" i="1" s="1"/>
  <c r="J1069" i="1" s="1"/>
  <c r="J1068" i="1" s="1"/>
  <c r="J1067" i="1" s="1"/>
  <c r="J1066" i="1" s="1"/>
  <c r="J1065" i="1" s="1"/>
  <c r="J1064" i="1" s="1"/>
  <c r="J1063" i="1" s="1"/>
  <c r="J1062" i="1" s="1"/>
  <c r="J1061" i="1" s="1"/>
  <c r="J1060" i="1" s="1"/>
  <c r="J1059" i="1" s="1"/>
  <c r="J1058" i="1" s="1"/>
  <c r="J1057" i="1" s="1"/>
  <c r="J1056" i="1" s="1"/>
  <c r="J1055" i="1" s="1"/>
  <c r="J1054" i="1" s="1"/>
  <c r="J1053" i="1" s="1"/>
  <c r="J1052" i="1" s="1"/>
  <c r="J1051" i="1" s="1"/>
  <c r="J1050" i="1" s="1"/>
  <c r="J1049" i="1" s="1"/>
  <c r="J1048" i="1" s="1"/>
  <c r="J1047" i="1" s="1"/>
  <c r="J1046" i="1" s="1"/>
  <c r="J1045" i="1" s="1"/>
  <c r="J1044" i="1" s="1"/>
  <c r="J1043" i="1" s="1"/>
  <c r="J1042" i="1" s="1"/>
  <c r="J1041" i="1" s="1"/>
  <c r="J1040" i="1" s="1"/>
  <c r="J1039" i="1" s="1"/>
  <c r="J1038" i="1" s="1"/>
  <c r="J1037" i="1" s="1"/>
  <c r="J1036" i="1" s="1"/>
  <c r="J1035" i="1" s="1"/>
  <c r="J1034" i="1" s="1"/>
  <c r="J1033" i="1" s="1"/>
  <c r="J1032" i="1" s="1"/>
  <c r="J1031" i="1" s="1"/>
  <c r="J1030" i="1" s="1"/>
  <c r="J1029" i="1" s="1"/>
  <c r="J1028" i="1" s="1"/>
  <c r="J1027" i="1" s="1"/>
  <c r="J1026" i="1" s="1"/>
  <c r="J1025" i="1" s="1"/>
  <c r="J1024" i="1" s="1"/>
  <c r="J1023" i="1" s="1"/>
  <c r="J1022" i="1" s="1"/>
  <c r="J1021" i="1" s="1"/>
  <c r="J1020" i="1" s="1"/>
  <c r="J1019" i="1" s="1"/>
  <c r="J1018" i="1" s="1"/>
  <c r="J1017" i="1" s="1"/>
  <c r="J1016" i="1" s="1"/>
  <c r="J1015" i="1" s="1"/>
  <c r="J1014" i="1" s="1"/>
  <c r="J1013" i="1" s="1"/>
  <c r="J1012" i="1" s="1"/>
  <c r="J1011" i="1" s="1"/>
  <c r="J1010" i="1" s="1"/>
  <c r="J1009" i="1" s="1"/>
  <c r="J1008" i="1" s="1"/>
  <c r="J1007" i="1" s="1"/>
  <c r="J1006" i="1" s="1"/>
  <c r="J1005" i="1" s="1"/>
  <c r="J1004" i="1" s="1"/>
  <c r="J1003" i="1" s="1"/>
  <c r="J1002" i="1" s="1"/>
  <c r="J1001" i="1" s="1"/>
  <c r="J1000" i="1" s="1"/>
  <c r="J999" i="1" s="1"/>
  <c r="J998" i="1" s="1"/>
  <c r="J997" i="1" s="1"/>
  <c r="J996" i="1" s="1"/>
  <c r="J995" i="1" s="1"/>
  <c r="J994" i="1" s="1"/>
  <c r="J993" i="1" s="1"/>
  <c r="J992" i="1" s="1"/>
  <c r="J991" i="1" s="1"/>
  <c r="J990" i="1" s="1"/>
  <c r="J989" i="1" s="1"/>
  <c r="J988" i="1" s="1"/>
  <c r="J987" i="1" s="1"/>
  <c r="J986" i="1" s="1"/>
  <c r="J985" i="1" s="1"/>
  <c r="J984" i="1" s="1"/>
  <c r="J983" i="1" s="1"/>
  <c r="J982" i="1" s="1"/>
  <c r="J981" i="1" s="1"/>
  <c r="J980" i="1" s="1"/>
  <c r="J979" i="1" s="1"/>
  <c r="J978" i="1" s="1"/>
  <c r="J977" i="1" s="1"/>
  <c r="J976" i="1" s="1"/>
  <c r="J975" i="1" s="1"/>
  <c r="J974" i="1" s="1"/>
  <c r="J973" i="1" s="1"/>
  <c r="J972" i="1" s="1"/>
  <c r="J971" i="1" s="1"/>
  <c r="J970" i="1" s="1"/>
  <c r="J969" i="1" s="1"/>
  <c r="J968" i="1" s="1"/>
  <c r="J967" i="1" s="1"/>
  <c r="J966" i="1" s="1"/>
  <c r="J965" i="1" s="1"/>
  <c r="J964" i="1" s="1"/>
  <c r="J963" i="1" s="1"/>
  <c r="J962" i="1" s="1"/>
  <c r="J961" i="1" s="1"/>
  <c r="J960" i="1" s="1"/>
  <c r="J959" i="1" s="1"/>
  <c r="J958" i="1" s="1"/>
  <c r="J957" i="1" s="1"/>
  <c r="J956" i="1" s="1"/>
  <c r="J955" i="1" s="1"/>
  <c r="J954" i="1" s="1"/>
  <c r="J953" i="1" s="1"/>
  <c r="J952" i="1" s="1"/>
  <c r="J951" i="1" s="1"/>
  <c r="J950" i="1" s="1"/>
  <c r="J949" i="1" s="1"/>
  <c r="J948" i="1" s="1"/>
  <c r="J945" i="1" s="1"/>
  <c r="J944" i="1" s="1"/>
  <c r="J943" i="1" s="1"/>
  <c r="J942" i="1" s="1"/>
  <c r="J941" i="1" s="1"/>
  <c r="J940" i="1" s="1"/>
  <c r="J939" i="1" s="1"/>
  <c r="J938" i="1" s="1"/>
  <c r="J937" i="1" s="1"/>
  <c r="J936" i="1" s="1"/>
  <c r="J935" i="1" s="1"/>
  <c r="J934" i="1" s="1"/>
  <c r="J933" i="1" s="1"/>
  <c r="J932" i="1" s="1"/>
  <c r="J931" i="1" s="1"/>
  <c r="J930" i="1" s="1"/>
  <c r="J929" i="1" s="1"/>
  <c r="J928" i="1" s="1"/>
  <c r="J927" i="1" s="1"/>
  <c r="J926" i="1" s="1"/>
  <c r="J925" i="1" s="1"/>
  <c r="J924" i="1" s="1"/>
  <c r="J923" i="1" s="1"/>
  <c r="J922" i="1" s="1"/>
  <c r="J921" i="1" s="1"/>
  <c r="J920" i="1" s="1"/>
  <c r="J919" i="1" s="1"/>
  <c r="J918" i="1" s="1"/>
  <c r="J917" i="1" s="1"/>
  <c r="J916" i="1" s="1"/>
  <c r="J915" i="1" s="1"/>
  <c r="J914" i="1" s="1"/>
  <c r="J913" i="1" s="1"/>
  <c r="J912" i="1" s="1"/>
  <c r="J911" i="1" s="1"/>
  <c r="J910" i="1" s="1"/>
  <c r="J909" i="1" s="1"/>
  <c r="J908" i="1" s="1"/>
  <c r="J907" i="1" s="1"/>
  <c r="J906" i="1" s="1"/>
  <c r="J905" i="1" s="1"/>
  <c r="J904" i="1" s="1"/>
  <c r="J903" i="1" s="1"/>
  <c r="J902" i="1" s="1"/>
  <c r="J901" i="1" s="1"/>
  <c r="J900" i="1" s="1"/>
  <c r="J899" i="1" s="1"/>
  <c r="J898" i="1" s="1"/>
  <c r="J897" i="1" s="1"/>
  <c r="J896" i="1" s="1"/>
  <c r="J895" i="1" s="1"/>
  <c r="J894" i="1" s="1"/>
  <c r="J893" i="1" s="1"/>
  <c r="J892" i="1" s="1"/>
  <c r="J891" i="1" s="1"/>
  <c r="J890" i="1" s="1"/>
  <c r="J889" i="1" s="1"/>
  <c r="J888" i="1" s="1"/>
  <c r="J887" i="1" s="1"/>
  <c r="J886" i="1" s="1"/>
  <c r="J885" i="1" s="1"/>
  <c r="J884" i="1" s="1"/>
  <c r="J883" i="1" s="1"/>
  <c r="J882" i="1" s="1"/>
  <c r="J881" i="1" s="1"/>
  <c r="J880" i="1" s="1"/>
  <c r="J879" i="1" s="1"/>
  <c r="J878" i="1" s="1"/>
  <c r="J877" i="1" s="1"/>
  <c r="J876" i="1" s="1"/>
  <c r="J875" i="1" s="1"/>
  <c r="J874" i="1" s="1"/>
  <c r="J873" i="1" s="1"/>
  <c r="J872" i="1" s="1"/>
  <c r="J871" i="1" s="1"/>
  <c r="J870" i="1" s="1"/>
  <c r="J869" i="1" s="1"/>
  <c r="J868" i="1" s="1"/>
  <c r="J867" i="1" s="1"/>
  <c r="J866" i="1" s="1"/>
  <c r="J865" i="1" s="1"/>
  <c r="J864" i="1" s="1"/>
  <c r="J863" i="1" s="1"/>
  <c r="J862" i="1" s="1"/>
  <c r="J861" i="1" s="1"/>
  <c r="J860" i="1" s="1"/>
  <c r="J859" i="1" s="1"/>
  <c r="J858" i="1" s="1"/>
  <c r="J857" i="1" s="1"/>
  <c r="J856" i="1" s="1"/>
  <c r="J855" i="1" s="1"/>
  <c r="J854" i="1" s="1"/>
  <c r="J853" i="1" s="1"/>
  <c r="J852" i="1" s="1"/>
  <c r="J851" i="1" s="1"/>
  <c r="J850" i="1" s="1"/>
  <c r="J849" i="1" s="1"/>
  <c r="J848" i="1" s="1"/>
  <c r="J847" i="1" s="1"/>
  <c r="J846" i="1" s="1"/>
  <c r="J845" i="1" s="1"/>
  <c r="J844" i="1" s="1"/>
  <c r="J843" i="1" s="1"/>
  <c r="J842" i="1" s="1"/>
  <c r="J841" i="1" s="1"/>
  <c r="J840" i="1" s="1"/>
  <c r="J839" i="1" s="1"/>
  <c r="J838" i="1" s="1"/>
  <c r="J837" i="1" s="1"/>
  <c r="J836" i="1" s="1"/>
  <c r="J835" i="1" s="1"/>
  <c r="J834" i="1" s="1"/>
  <c r="J833" i="1" s="1"/>
  <c r="J832" i="1" s="1"/>
  <c r="J831" i="1" s="1"/>
  <c r="J830" i="1" s="1"/>
  <c r="J829" i="1" s="1"/>
  <c r="J828" i="1" s="1"/>
  <c r="J827" i="1" s="1"/>
  <c r="J826" i="1" s="1"/>
  <c r="J825" i="1" s="1"/>
  <c r="J824" i="1" s="1"/>
  <c r="J823" i="1" s="1"/>
  <c r="J822" i="1" s="1"/>
  <c r="J821" i="1" s="1"/>
  <c r="J820" i="1" s="1"/>
  <c r="J819" i="1" s="1"/>
  <c r="J818" i="1" s="1"/>
  <c r="J817" i="1" s="1"/>
  <c r="J816" i="1" s="1"/>
  <c r="J815" i="1" s="1"/>
  <c r="J814" i="1" s="1"/>
  <c r="J813" i="1" s="1"/>
  <c r="J812" i="1" s="1"/>
  <c r="J811" i="1" s="1"/>
  <c r="J810" i="1" s="1"/>
  <c r="J809" i="1" s="1"/>
  <c r="J808" i="1" s="1"/>
  <c r="J807" i="1" s="1"/>
  <c r="J806" i="1" s="1"/>
  <c r="J805" i="1" s="1"/>
  <c r="J804" i="1" s="1"/>
  <c r="J803" i="1" s="1"/>
  <c r="J802" i="1" s="1"/>
  <c r="J801" i="1" s="1"/>
  <c r="J800" i="1" s="1"/>
  <c r="J799" i="1" s="1"/>
  <c r="J798" i="1" s="1"/>
  <c r="J797" i="1" s="1"/>
  <c r="J796" i="1" s="1"/>
  <c r="J795" i="1" s="1"/>
  <c r="J794" i="1" s="1"/>
  <c r="J793" i="1" s="1"/>
  <c r="J792" i="1" s="1"/>
  <c r="J791" i="1" s="1"/>
  <c r="J790" i="1" s="1"/>
  <c r="J789" i="1" s="1"/>
  <c r="J788" i="1" s="1"/>
  <c r="J787" i="1" s="1"/>
  <c r="J786" i="1" s="1"/>
  <c r="J785" i="1" s="1"/>
  <c r="J784" i="1" s="1"/>
  <c r="J783" i="1" s="1"/>
  <c r="J782" i="1" s="1"/>
  <c r="J781" i="1" s="1"/>
  <c r="J780" i="1" s="1"/>
  <c r="J779" i="1" s="1"/>
  <c r="J778" i="1" s="1"/>
  <c r="J777" i="1" s="1"/>
  <c r="J776" i="1" s="1"/>
  <c r="J775" i="1" s="1"/>
  <c r="J774" i="1" s="1"/>
  <c r="J773" i="1" s="1"/>
  <c r="J772" i="1" s="1"/>
  <c r="J771" i="1" s="1"/>
  <c r="J770" i="1" s="1"/>
  <c r="J769" i="1" s="1"/>
  <c r="J768" i="1" s="1"/>
  <c r="J767" i="1" s="1"/>
  <c r="J766" i="1" s="1"/>
  <c r="J765" i="1" s="1"/>
  <c r="J764" i="1" s="1"/>
  <c r="J763" i="1" s="1"/>
  <c r="J762" i="1" s="1"/>
  <c r="J761" i="1" s="1"/>
  <c r="J760" i="1" s="1"/>
  <c r="J759" i="1" s="1"/>
  <c r="J758" i="1" s="1"/>
  <c r="J757" i="1" s="1"/>
  <c r="J756" i="1" s="1"/>
  <c r="J755" i="1" s="1"/>
  <c r="J754" i="1" s="1"/>
  <c r="J753" i="1" s="1"/>
  <c r="J752" i="1" s="1"/>
  <c r="J751" i="1" s="1"/>
  <c r="J750" i="1" s="1"/>
  <c r="J749" i="1" s="1"/>
  <c r="J748" i="1" s="1"/>
  <c r="J747" i="1" s="1"/>
  <c r="J746" i="1" s="1"/>
  <c r="J745" i="1" s="1"/>
  <c r="J744" i="1" s="1"/>
  <c r="J743" i="1" s="1"/>
  <c r="J742" i="1" s="1"/>
  <c r="J741" i="1" s="1"/>
  <c r="J740" i="1" s="1"/>
  <c r="J739" i="1" s="1"/>
  <c r="J738" i="1" s="1"/>
  <c r="J737" i="1" s="1"/>
  <c r="J736" i="1" s="1"/>
  <c r="J735" i="1" s="1"/>
  <c r="J734" i="1" s="1"/>
  <c r="J733" i="1" s="1"/>
  <c r="J732" i="1" s="1"/>
  <c r="J731" i="1" s="1"/>
  <c r="J730" i="1" s="1"/>
  <c r="J729" i="1" s="1"/>
  <c r="J728" i="1" s="1"/>
  <c r="J727" i="1" s="1"/>
  <c r="J726" i="1" s="1"/>
  <c r="J725" i="1" s="1"/>
  <c r="J724" i="1" s="1"/>
  <c r="J723" i="1" s="1"/>
  <c r="J722" i="1" s="1"/>
  <c r="J721" i="1" s="1"/>
  <c r="J720" i="1" s="1"/>
  <c r="J719" i="1" s="1"/>
  <c r="J718" i="1" s="1"/>
  <c r="J717" i="1" s="1"/>
  <c r="J716" i="1" s="1"/>
  <c r="J715" i="1" s="1"/>
  <c r="J714" i="1" s="1"/>
  <c r="J713" i="1" s="1"/>
  <c r="J712" i="1" s="1"/>
  <c r="J711" i="1" s="1"/>
  <c r="J710" i="1" s="1"/>
  <c r="J709" i="1" s="1"/>
  <c r="J708" i="1" s="1"/>
  <c r="J707" i="1" s="1"/>
  <c r="J706" i="1" s="1"/>
  <c r="J705" i="1" s="1"/>
  <c r="J704" i="1" s="1"/>
  <c r="J703" i="1" s="1"/>
  <c r="J702" i="1" s="1"/>
  <c r="J701" i="1" s="1"/>
  <c r="J700" i="1" s="1"/>
  <c r="J699" i="1" s="1"/>
  <c r="J698" i="1" s="1"/>
  <c r="J697" i="1" s="1"/>
  <c r="J696" i="1" s="1"/>
  <c r="J695" i="1" s="1"/>
  <c r="J694" i="1" s="1"/>
  <c r="J693" i="1" s="1"/>
  <c r="J692" i="1" s="1"/>
  <c r="J691" i="1" s="1"/>
  <c r="J690" i="1" s="1"/>
  <c r="J689" i="1" s="1"/>
  <c r="J688" i="1" s="1"/>
  <c r="J687" i="1" s="1"/>
  <c r="J686" i="1" s="1"/>
  <c r="J685" i="1" s="1"/>
  <c r="J684" i="1" s="1"/>
  <c r="J683" i="1" s="1"/>
  <c r="J682" i="1" s="1"/>
  <c r="J681" i="1" s="1"/>
  <c r="J680" i="1" s="1"/>
  <c r="J679" i="1" s="1"/>
  <c r="J678" i="1" s="1"/>
  <c r="J677" i="1" s="1"/>
  <c r="J676" i="1" s="1"/>
  <c r="J675" i="1" s="1"/>
  <c r="J674" i="1" s="1"/>
  <c r="J673" i="1" s="1"/>
  <c r="J672" i="1" s="1"/>
  <c r="J671" i="1" s="1"/>
  <c r="J670" i="1" s="1"/>
  <c r="J669" i="1" s="1"/>
  <c r="J668" i="1" s="1"/>
  <c r="J667" i="1" s="1"/>
  <c r="J666" i="1" s="1"/>
  <c r="J665" i="1" s="1"/>
  <c r="J664" i="1" s="1"/>
  <c r="J663" i="1" s="1"/>
  <c r="J662" i="1" s="1"/>
  <c r="J661" i="1" s="1"/>
  <c r="J660" i="1" s="1"/>
  <c r="J659" i="1" s="1"/>
  <c r="J658" i="1" s="1"/>
  <c r="J657" i="1" s="1"/>
  <c r="J656" i="1" s="1"/>
  <c r="J655" i="1" s="1"/>
  <c r="J654" i="1" s="1"/>
  <c r="J653" i="1" s="1"/>
  <c r="J652" i="1" s="1"/>
  <c r="J651" i="1" s="1"/>
  <c r="J650" i="1" s="1"/>
  <c r="J649" i="1" s="1"/>
  <c r="J646" i="1" s="1"/>
  <c r="J645" i="1" s="1"/>
  <c r="J644" i="1" s="1"/>
  <c r="J643" i="1" s="1"/>
  <c r="J642" i="1" s="1"/>
  <c r="J641" i="1" s="1"/>
  <c r="J640" i="1" s="1"/>
  <c r="J639" i="1" s="1"/>
  <c r="J638" i="1" s="1"/>
  <c r="J637" i="1" s="1"/>
  <c r="J636" i="1" s="1"/>
  <c r="J635" i="1" s="1"/>
  <c r="J634" i="1" s="1"/>
  <c r="J633" i="1" s="1"/>
  <c r="J632" i="1" s="1"/>
  <c r="J631" i="1" s="1"/>
  <c r="J630" i="1" s="1"/>
  <c r="J629" i="1" s="1"/>
  <c r="J628" i="1" s="1"/>
  <c r="J627" i="1" s="1"/>
  <c r="J626" i="1" s="1"/>
  <c r="J625" i="1" s="1"/>
  <c r="J624" i="1" s="1"/>
  <c r="J623" i="1" s="1"/>
  <c r="J622" i="1" s="1"/>
  <c r="J621" i="1" s="1"/>
  <c r="J620" i="1" s="1"/>
  <c r="J619" i="1" s="1"/>
  <c r="J618" i="1" s="1"/>
  <c r="J617" i="1" s="1"/>
  <c r="J616" i="1" s="1"/>
  <c r="J615" i="1" s="1"/>
  <c r="J614" i="1" s="1"/>
  <c r="J613" i="1" s="1"/>
  <c r="J612" i="1" s="1"/>
  <c r="J611" i="1" s="1"/>
  <c r="J610" i="1" s="1"/>
  <c r="J609" i="1" s="1"/>
  <c r="J608" i="1" s="1"/>
  <c r="J607" i="1" s="1"/>
  <c r="J606" i="1" s="1"/>
  <c r="J605" i="1" s="1"/>
  <c r="J604" i="1" s="1"/>
  <c r="J603" i="1" s="1"/>
  <c r="J602" i="1" s="1"/>
  <c r="J601" i="1" s="1"/>
  <c r="J600" i="1" s="1"/>
  <c r="J599" i="1" s="1"/>
  <c r="J598" i="1" s="1"/>
  <c r="J597" i="1" s="1"/>
  <c r="J596" i="1" s="1"/>
  <c r="J595" i="1" s="1"/>
  <c r="J594" i="1" s="1"/>
  <c r="J593" i="1" s="1"/>
  <c r="J592" i="1" s="1"/>
  <c r="J591" i="1" s="1"/>
  <c r="J590" i="1" s="1"/>
  <c r="J589" i="1" s="1"/>
  <c r="J588" i="1" s="1"/>
  <c r="J587" i="1" s="1"/>
  <c r="J586" i="1" s="1"/>
  <c r="J585" i="1" s="1"/>
  <c r="J584" i="1" s="1"/>
  <c r="J583" i="1" s="1"/>
  <c r="J582" i="1" s="1"/>
  <c r="J581" i="1" s="1"/>
  <c r="J580" i="1" s="1"/>
  <c r="J579" i="1" s="1"/>
  <c r="J578" i="1" s="1"/>
  <c r="J577" i="1" s="1"/>
  <c r="J576" i="1" s="1"/>
  <c r="J575" i="1" s="1"/>
  <c r="J574" i="1" s="1"/>
  <c r="J573" i="1" s="1"/>
  <c r="J572" i="1" s="1"/>
  <c r="J571" i="1" s="1"/>
  <c r="J570" i="1" s="1"/>
  <c r="J569" i="1" s="1"/>
  <c r="J568" i="1" s="1"/>
  <c r="J567" i="1" s="1"/>
  <c r="J566" i="1" s="1"/>
  <c r="J565" i="1" s="1"/>
  <c r="J564" i="1" s="1"/>
  <c r="J563" i="1" s="1"/>
  <c r="J562" i="1" s="1"/>
  <c r="J561" i="1" s="1"/>
  <c r="J560" i="1" s="1"/>
  <c r="J559" i="1" s="1"/>
  <c r="J558" i="1" s="1"/>
  <c r="J557" i="1" s="1"/>
  <c r="J556" i="1" s="1"/>
  <c r="J555" i="1" s="1"/>
  <c r="J554" i="1" s="1"/>
  <c r="J553" i="1" s="1"/>
  <c r="J552" i="1" s="1"/>
  <c r="J551" i="1" s="1"/>
  <c r="J550" i="1" s="1"/>
  <c r="J549" i="1" s="1"/>
  <c r="J548" i="1" s="1"/>
  <c r="J547" i="1" s="1"/>
  <c r="J546" i="1" s="1"/>
  <c r="J545" i="1" s="1"/>
  <c r="J544" i="1" s="1"/>
  <c r="J543" i="1" s="1"/>
  <c r="J542" i="1" s="1"/>
  <c r="J541" i="1" s="1"/>
  <c r="J540" i="1" s="1"/>
  <c r="J539" i="1" s="1"/>
  <c r="J538" i="1" s="1"/>
  <c r="J537" i="1" s="1"/>
  <c r="J536" i="1" s="1"/>
  <c r="J535" i="1" s="1"/>
  <c r="J534" i="1" s="1"/>
  <c r="J533" i="1" s="1"/>
  <c r="J532" i="1" s="1"/>
  <c r="J531" i="1" s="1"/>
  <c r="J530" i="1" s="1"/>
  <c r="J529" i="1" s="1"/>
  <c r="J528" i="1" s="1"/>
  <c r="J527" i="1" s="1"/>
  <c r="J526" i="1" s="1"/>
  <c r="J525" i="1" s="1"/>
  <c r="J524" i="1" s="1"/>
  <c r="J523" i="1" s="1"/>
  <c r="J522" i="1" s="1"/>
  <c r="J521" i="1" s="1"/>
  <c r="J520" i="1" s="1"/>
  <c r="J519" i="1" s="1"/>
  <c r="J518" i="1" s="1"/>
  <c r="J517" i="1" s="1"/>
  <c r="J516" i="1" s="1"/>
  <c r="J515" i="1" s="1"/>
  <c r="J514" i="1" s="1"/>
  <c r="J513" i="1" s="1"/>
  <c r="J512" i="1" s="1"/>
  <c r="J511" i="1" s="1"/>
  <c r="J510" i="1" s="1"/>
  <c r="J509" i="1" s="1"/>
  <c r="J508" i="1" s="1"/>
  <c r="J507" i="1" s="1"/>
  <c r="J506" i="1" s="1"/>
  <c r="J505" i="1" s="1"/>
  <c r="J504" i="1" s="1"/>
  <c r="J503" i="1" s="1"/>
  <c r="J502" i="1" s="1"/>
  <c r="J501" i="1" s="1"/>
  <c r="J500" i="1" s="1"/>
  <c r="J499" i="1" s="1"/>
  <c r="J498" i="1" s="1"/>
  <c r="J497" i="1" s="1"/>
  <c r="J496" i="1" s="1"/>
  <c r="J495" i="1" s="1"/>
  <c r="J494" i="1" s="1"/>
  <c r="J493" i="1" s="1"/>
  <c r="J492" i="1" s="1"/>
  <c r="J491" i="1" s="1"/>
  <c r="J490" i="1" s="1"/>
  <c r="J489" i="1" s="1"/>
  <c r="J488" i="1" s="1"/>
  <c r="J487" i="1" s="1"/>
  <c r="J486" i="1" s="1"/>
  <c r="J485" i="1" s="1"/>
  <c r="J484" i="1" s="1"/>
  <c r="J483" i="1" s="1"/>
  <c r="J482" i="1" s="1"/>
  <c r="J481" i="1" s="1"/>
  <c r="J480" i="1" s="1"/>
  <c r="J479" i="1" s="1"/>
  <c r="J478" i="1" s="1"/>
  <c r="J477" i="1" s="1"/>
  <c r="J476" i="1" s="1"/>
  <c r="J475" i="1" s="1"/>
  <c r="J474" i="1" s="1"/>
  <c r="J473" i="1" s="1"/>
  <c r="J472" i="1" s="1"/>
  <c r="J471" i="1" s="1"/>
  <c r="J470" i="1" s="1"/>
  <c r="J469" i="1" s="1"/>
  <c r="J468" i="1" s="1"/>
  <c r="J467" i="1" s="1"/>
  <c r="J466" i="1" s="1"/>
  <c r="J465" i="1" s="1"/>
  <c r="J464" i="1" s="1"/>
  <c r="J463" i="1" s="1"/>
  <c r="J462" i="1" s="1"/>
  <c r="J461" i="1" s="1"/>
  <c r="J460" i="1" s="1"/>
  <c r="J459" i="1" s="1"/>
  <c r="J458" i="1" s="1"/>
  <c r="J457" i="1" s="1"/>
  <c r="J456" i="1" s="1"/>
  <c r="J455" i="1" s="1"/>
  <c r="J454" i="1" s="1"/>
  <c r="J453" i="1" s="1"/>
  <c r="J452" i="1" s="1"/>
  <c r="J451" i="1" s="1"/>
  <c r="J450" i="1" s="1"/>
  <c r="J449" i="1" s="1"/>
  <c r="J448" i="1" s="1"/>
  <c r="J447" i="1" s="1"/>
  <c r="J446" i="1" s="1"/>
  <c r="J445" i="1" s="1"/>
  <c r="J444" i="1" s="1"/>
  <c r="J443" i="1" s="1"/>
  <c r="J442" i="1" s="1"/>
  <c r="J441" i="1" s="1"/>
  <c r="J440" i="1" s="1"/>
  <c r="J439" i="1" s="1"/>
  <c r="J438" i="1" s="1"/>
  <c r="J437" i="1" s="1"/>
  <c r="J436" i="1" s="1"/>
  <c r="J435" i="1" s="1"/>
  <c r="J434" i="1" s="1"/>
  <c r="J433" i="1" s="1"/>
  <c r="J432" i="1" s="1"/>
  <c r="J431" i="1" s="1"/>
  <c r="J430" i="1" s="1"/>
  <c r="J429" i="1" s="1"/>
  <c r="J428" i="1" s="1"/>
  <c r="J427" i="1" s="1"/>
  <c r="J426" i="1" s="1"/>
  <c r="J425" i="1" s="1"/>
  <c r="J424" i="1" s="1"/>
  <c r="J423" i="1" s="1"/>
  <c r="J422" i="1" s="1"/>
  <c r="J421" i="1" s="1"/>
  <c r="J420" i="1" s="1"/>
  <c r="J419" i="1" s="1"/>
  <c r="J418" i="1" s="1"/>
  <c r="J417" i="1" s="1"/>
  <c r="J416" i="1" s="1"/>
  <c r="J415" i="1" s="1"/>
  <c r="J414" i="1" s="1"/>
  <c r="J413" i="1" s="1"/>
  <c r="J412" i="1" s="1"/>
  <c r="J411" i="1" s="1"/>
  <c r="J410" i="1" s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J369" i="1" s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J358" i="1" s="1"/>
  <c r="J357" i="1" s="1"/>
  <c r="J356" i="1" s="1"/>
  <c r="J355" i="1" s="1"/>
  <c r="J354" i="1" s="1"/>
  <c r="J353" i="1" s="1"/>
  <c r="J352" i="1" s="1"/>
  <c r="J351" i="1" s="1"/>
  <c r="J350" i="1" s="1"/>
  <c r="J349" i="1" s="1"/>
  <c r="J348" i="1" s="1"/>
  <c r="J347" i="1" s="1"/>
  <c r="J346" i="1" s="1"/>
  <c r="J345" i="1" s="1"/>
  <c r="J344" i="1" s="1"/>
  <c r="J343" i="1" s="1"/>
  <c r="J342" i="1" s="1"/>
  <c r="J341" i="1" s="1"/>
  <c r="J340" i="1" s="1"/>
  <c r="J339" i="1" s="1"/>
  <c r="J338" i="1" s="1"/>
  <c r="J337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8" i="1" s="1"/>
  <c r="J257" i="1" s="1"/>
  <c r="J256" i="1" s="1"/>
  <c r="J255" i="1" s="1"/>
  <c r="J254" i="1" s="1"/>
  <c r="J253" i="1" s="1"/>
  <c r="J252" i="1" s="1"/>
  <c r="J251" i="1" s="1"/>
  <c r="J250" i="1" s="1"/>
  <c r="J249" i="1" s="1"/>
  <c r="J248" i="1" s="1"/>
  <c r="J247" i="1" s="1"/>
  <c r="J246" i="1" s="1"/>
  <c r="J245" i="1" s="1"/>
  <c r="J244" i="1" s="1"/>
  <c r="J243" i="1" s="1"/>
  <c r="J242" i="1" s="1"/>
  <c r="J241" i="1" s="1"/>
  <c r="J240" i="1" s="1"/>
  <c r="J239" i="1" s="1"/>
  <c r="J238" i="1" s="1"/>
  <c r="J237" i="1" s="1"/>
  <c r="J236" i="1" s="1"/>
  <c r="J235" i="1" s="1"/>
  <c r="J234" i="1" s="1"/>
  <c r="J233" i="1" s="1"/>
  <c r="J232" i="1" s="1"/>
  <c r="J231" i="1" s="1"/>
  <c r="J230" i="1" s="1"/>
  <c r="J229" i="1" s="1"/>
  <c r="J228" i="1" s="1"/>
  <c r="J227" i="1" s="1"/>
  <c r="J226" i="1" s="1"/>
  <c r="J225" i="1" s="1"/>
  <c r="J224" i="1" s="1"/>
  <c r="J223" i="1" s="1"/>
  <c r="J222" i="1" s="1"/>
  <c r="J221" i="1" s="1"/>
  <c r="J220" i="1" s="1"/>
  <c r="J219" i="1" s="1"/>
  <c r="J218" i="1" s="1"/>
  <c r="J217" i="1" s="1"/>
  <c r="J216" i="1" s="1"/>
  <c r="J215" i="1" s="1"/>
  <c r="J214" i="1" s="1"/>
  <c r="J213" i="1" s="1"/>
  <c r="J212" i="1" s="1"/>
  <c r="J211" i="1" s="1"/>
  <c r="J210" i="1" s="1"/>
  <c r="J209" i="1" s="1"/>
  <c r="J208" i="1" s="1"/>
  <c r="J207" i="1" s="1"/>
  <c r="J206" i="1" s="1"/>
  <c r="J205" i="1" s="1"/>
  <c r="J204" i="1" s="1"/>
  <c r="J203" i="1" s="1"/>
  <c r="J202" i="1" s="1"/>
  <c r="J201" i="1" s="1"/>
  <c r="J200" i="1" s="1"/>
  <c r="J199" i="1" s="1"/>
  <c r="J198" i="1" s="1"/>
  <c r="J197" i="1" s="1"/>
  <c r="J196" i="1" s="1"/>
  <c r="J195" i="1" s="1"/>
  <c r="J194" i="1" s="1"/>
  <c r="J193" i="1" s="1"/>
  <c r="J192" i="1" s="1"/>
  <c r="J191" i="1" s="1"/>
  <c r="J190" i="1" s="1"/>
  <c r="J189" i="1" s="1"/>
  <c r="J188" i="1" s="1"/>
  <c r="J187" i="1" s="1"/>
  <c r="J186" i="1" s="1"/>
  <c r="J185" i="1" s="1"/>
  <c r="J184" i="1" s="1"/>
  <c r="J183" i="1" s="1"/>
  <c r="J182" i="1" s="1"/>
  <c r="J181" i="1" s="1"/>
  <c r="J180" i="1" s="1"/>
  <c r="J179" i="1" s="1"/>
  <c r="J178" i="1" s="1"/>
  <c r="J177" i="1" s="1"/>
  <c r="J176" i="1" s="1"/>
  <c r="J175" i="1" s="1"/>
  <c r="J174" i="1" s="1"/>
  <c r="J173" i="1" s="1"/>
  <c r="J172" i="1" s="1"/>
  <c r="J171" i="1" s="1"/>
  <c r="J170" i="1" s="1"/>
  <c r="J169" i="1" s="1"/>
  <c r="J168" i="1" s="1"/>
  <c r="J167" i="1" s="1"/>
  <c r="J166" i="1" s="1"/>
  <c r="J165" i="1" s="1"/>
  <c r="J164" i="1" s="1"/>
  <c r="J163" i="1" s="1"/>
  <c r="J162" i="1" s="1"/>
  <c r="J161" i="1" s="1"/>
  <c r="J160" i="1" s="1"/>
  <c r="J159" i="1" s="1"/>
  <c r="J158" i="1" s="1"/>
  <c r="J157" i="1" s="1"/>
  <c r="J156" i="1" s="1"/>
  <c r="J155" i="1" s="1"/>
  <c r="J154" i="1" s="1"/>
  <c r="J153" i="1" s="1"/>
  <c r="J152" i="1" s="1"/>
  <c r="J151" i="1" s="1"/>
  <c r="J150" i="1" s="1"/>
  <c r="J149" i="1" s="1"/>
  <c r="J148" i="1" s="1"/>
  <c r="J147" i="1" s="1"/>
  <c r="J146" i="1" s="1"/>
  <c r="J145" i="1" s="1"/>
  <c r="J144" i="1" s="1"/>
  <c r="J143" i="1" s="1"/>
  <c r="J142" i="1" s="1"/>
  <c r="J141" i="1" s="1"/>
  <c r="J140" i="1" s="1"/>
  <c r="J139" i="1" s="1"/>
  <c r="J138" i="1" s="1"/>
  <c r="J137" i="1" s="1"/>
  <c r="J136" i="1" s="1"/>
  <c r="J135" i="1" s="1"/>
  <c r="J134" i="1" s="1"/>
  <c r="J133" i="1" s="1"/>
  <c r="J132" i="1" s="1"/>
  <c r="J131" i="1" s="1"/>
  <c r="J130" i="1" s="1"/>
  <c r="J129" i="1" s="1"/>
  <c r="J128" i="1" s="1"/>
  <c r="J127" i="1" s="1"/>
  <c r="J126" i="1" s="1"/>
  <c r="J125" i="1" s="1"/>
  <c r="J124" i="1" s="1"/>
  <c r="J123" i="1" s="1"/>
  <c r="J122" i="1" s="1"/>
  <c r="J121" i="1" s="1"/>
  <c r="J120" i="1" s="1"/>
  <c r="J119" i="1" s="1"/>
  <c r="J118" i="1" s="1"/>
  <c r="J117" i="1" s="1"/>
  <c r="J116" i="1" s="1"/>
  <c r="J115" i="1" s="1"/>
  <c r="J114" i="1" s="1"/>
  <c r="J113" i="1" s="1"/>
  <c r="J112" i="1" s="1"/>
  <c r="J111" i="1" s="1"/>
  <c r="J110" i="1" s="1"/>
  <c r="J109" i="1" s="1"/>
  <c r="J108" i="1" s="1"/>
  <c r="J107" i="1" s="1"/>
  <c r="J106" i="1" s="1"/>
  <c r="J105" i="1" s="1"/>
  <c r="J104" i="1" s="1"/>
  <c r="J103" i="1" s="1"/>
  <c r="J102" i="1" s="1"/>
  <c r="J101" i="1" s="1"/>
  <c r="J100" i="1" s="1"/>
  <c r="J99" i="1" s="1"/>
  <c r="J98" i="1" s="1"/>
  <c r="J97" i="1" s="1"/>
  <c r="J96" i="1" s="1"/>
  <c r="J95" i="1" s="1"/>
  <c r="J94" i="1" s="1"/>
  <c r="J93" i="1" s="1"/>
  <c r="J92" i="1" s="1"/>
  <c r="J91" i="1" s="1"/>
  <c r="J90" i="1" s="1"/>
  <c r="J89" i="1" s="1"/>
  <c r="J88" i="1" s="1"/>
  <c r="J87" i="1" s="1"/>
  <c r="J86" i="1" s="1"/>
  <c r="J85" i="1" s="1"/>
  <c r="J84" i="1" s="1"/>
  <c r="J83" i="1" s="1"/>
  <c r="J82" i="1" s="1"/>
  <c r="J81" i="1" s="1"/>
  <c r="J80" i="1" s="1"/>
  <c r="J79" i="1" s="1"/>
  <c r="J78" i="1" s="1"/>
  <c r="J77" i="1" s="1"/>
  <c r="J76" i="1" s="1"/>
  <c r="J75" i="1" s="1"/>
  <c r="J74" i="1" s="1"/>
  <c r="J73" i="1" s="1"/>
  <c r="J72" i="1" s="1"/>
  <c r="J71" i="1" s="1"/>
  <c r="J70" i="1" s="1"/>
  <c r="J69" i="1" s="1"/>
  <c r="J68" i="1" s="1"/>
  <c r="J67" i="1" s="1"/>
  <c r="J66" i="1" s="1"/>
  <c r="J65" i="1" s="1"/>
  <c r="J64" i="1" s="1"/>
  <c r="J63" i="1" s="1"/>
  <c r="J62" i="1" s="1"/>
  <c r="J61" i="1" s="1"/>
  <c r="J60" i="1" s="1"/>
  <c r="J59" i="1" s="1"/>
  <c r="J58" i="1" s="1"/>
  <c r="J57" i="1" s="1"/>
  <c r="J56" i="1" s="1"/>
  <c r="J3539" i="1"/>
  <c r="I333" i="1"/>
  <c r="I332" i="1" s="1"/>
  <c r="I331" i="1" s="1"/>
  <c r="I330" i="1" s="1"/>
  <c r="I329" i="1" s="1"/>
  <c r="I328" i="1" s="1"/>
  <c r="I327" i="1" s="1"/>
  <c r="I326" i="1" s="1"/>
  <c r="I325" i="1" s="1"/>
  <c r="I324" i="1" s="1"/>
  <c r="I323" i="1" s="1"/>
  <c r="I322" i="1" s="1"/>
  <c r="I321" i="1" s="1"/>
  <c r="I320" i="1" s="1"/>
  <c r="I319" i="1" s="1"/>
  <c r="I318" i="1" s="1"/>
  <c r="I317" i="1" s="1"/>
  <c r="I316" i="1" s="1"/>
  <c r="I315" i="1" s="1"/>
  <c r="I314" i="1" s="1"/>
  <c r="I313" i="1" s="1"/>
  <c r="I312" i="1" s="1"/>
  <c r="I311" i="1" s="1"/>
  <c r="I310" i="1" s="1"/>
  <c r="I309" i="1" s="1"/>
  <c r="I308" i="1" s="1"/>
  <c r="I307" i="1" s="1"/>
  <c r="I306" i="1" s="1"/>
  <c r="I305" i="1" s="1"/>
  <c r="I304" i="1" s="1"/>
  <c r="I303" i="1" s="1"/>
  <c r="I302" i="1" s="1"/>
  <c r="I301" i="1" s="1"/>
  <c r="I300" i="1" s="1"/>
  <c r="I299" i="1" s="1"/>
  <c r="I298" i="1" s="1"/>
  <c r="I297" i="1" s="1"/>
  <c r="I296" i="1" s="1"/>
  <c r="I295" i="1" s="1"/>
  <c r="I294" i="1" s="1"/>
  <c r="I293" i="1" s="1"/>
  <c r="I292" i="1" s="1"/>
  <c r="I291" i="1" s="1"/>
  <c r="I290" i="1" s="1"/>
  <c r="I289" i="1" s="1"/>
  <c r="I288" i="1" s="1"/>
  <c r="I287" i="1" s="1"/>
  <c r="I286" i="1" s="1"/>
  <c r="I285" i="1" s="1"/>
  <c r="I284" i="1" s="1"/>
  <c r="I283" i="1" s="1"/>
  <c r="I282" i="1" s="1"/>
  <c r="I281" i="1" s="1"/>
  <c r="I280" i="1" s="1"/>
  <c r="I279" i="1" s="1"/>
  <c r="I278" i="1" s="1"/>
  <c r="I277" i="1" s="1"/>
  <c r="I276" i="1" s="1"/>
  <c r="I275" i="1" s="1"/>
  <c r="I274" i="1" s="1"/>
  <c r="I273" i="1" s="1"/>
  <c r="I272" i="1" s="1"/>
  <c r="I271" i="1" s="1"/>
  <c r="I270" i="1" s="1"/>
  <c r="I269" i="1" s="1"/>
  <c r="I268" i="1" s="1"/>
  <c r="I267" i="1" s="1"/>
  <c r="I266" i="1" s="1"/>
  <c r="I265" i="1" s="1"/>
  <c r="I264" i="1" s="1"/>
  <c r="I263" i="1" s="1"/>
  <c r="I262" i="1" s="1"/>
  <c r="I261" i="1" s="1"/>
  <c r="I260" i="1" s="1"/>
  <c r="I259" i="1" s="1"/>
  <c r="I258" i="1" s="1"/>
  <c r="I257" i="1" s="1"/>
  <c r="I256" i="1" s="1"/>
  <c r="I255" i="1" s="1"/>
  <c r="I254" i="1" s="1"/>
  <c r="I253" i="1" s="1"/>
  <c r="I252" i="1" s="1"/>
  <c r="I251" i="1" s="1"/>
  <c r="I250" i="1" s="1"/>
  <c r="I249" i="1" s="1"/>
  <c r="I248" i="1" s="1"/>
  <c r="I247" i="1" s="1"/>
  <c r="I246" i="1" s="1"/>
  <c r="I245" i="1" s="1"/>
  <c r="I244" i="1" s="1"/>
  <c r="I243" i="1" s="1"/>
  <c r="I242" i="1" s="1"/>
  <c r="I241" i="1" s="1"/>
  <c r="I240" i="1" s="1"/>
  <c r="I239" i="1" s="1"/>
  <c r="I238" i="1" s="1"/>
  <c r="I237" i="1" s="1"/>
  <c r="I236" i="1" s="1"/>
  <c r="I235" i="1" s="1"/>
  <c r="I234" i="1" s="1"/>
  <c r="I233" i="1" s="1"/>
  <c r="I232" i="1" s="1"/>
  <c r="I231" i="1" s="1"/>
  <c r="I230" i="1" s="1"/>
  <c r="I229" i="1" s="1"/>
  <c r="I228" i="1" s="1"/>
  <c r="I227" i="1" s="1"/>
  <c r="I226" i="1" s="1"/>
  <c r="I225" i="1" s="1"/>
  <c r="I224" i="1" s="1"/>
  <c r="I223" i="1" s="1"/>
  <c r="I222" i="1" s="1"/>
  <c r="I221" i="1" s="1"/>
  <c r="I220" i="1" s="1"/>
  <c r="I219" i="1" s="1"/>
  <c r="I218" i="1" s="1"/>
  <c r="I217" i="1" s="1"/>
  <c r="I216" i="1" s="1"/>
  <c r="I215" i="1" s="1"/>
  <c r="I214" i="1" s="1"/>
  <c r="I213" i="1" s="1"/>
  <c r="I212" i="1" s="1"/>
  <c r="I211" i="1" s="1"/>
  <c r="I210" i="1" s="1"/>
  <c r="I209" i="1" s="1"/>
  <c r="I208" i="1" s="1"/>
  <c r="I207" i="1" s="1"/>
  <c r="I206" i="1" s="1"/>
  <c r="I205" i="1" s="1"/>
  <c r="I204" i="1" s="1"/>
  <c r="I203" i="1" s="1"/>
  <c r="I202" i="1" s="1"/>
  <c r="I201" i="1" s="1"/>
  <c r="I200" i="1" s="1"/>
  <c r="I199" i="1" s="1"/>
  <c r="I198" i="1" s="1"/>
  <c r="I197" i="1" s="1"/>
  <c r="I196" i="1" s="1"/>
  <c r="I195" i="1" s="1"/>
  <c r="I194" i="1" s="1"/>
  <c r="I193" i="1" s="1"/>
  <c r="I192" i="1" s="1"/>
  <c r="I191" i="1" s="1"/>
  <c r="I190" i="1" s="1"/>
  <c r="I189" i="1" s="1"/>
  <c r="I188" i="1" s="1"/>
  <c r="I187" i="1" s="1"/>
  <c r="I186" i="1" s="1"/>
  <c r="I185" i="1" s="1"/>
  <c r="I184" i="1" s="1"/>
  <c r="I183" i="1" s="1"/>
  <c r="I182" i="1" s="1"/>
  <c r="I181" i="1" s="1"/>
  <c r="I180" i="1" s="1"/>
  <c r="I179" i="1" s="1"/>
  <c r="I178" i="1" s="1"/>
  <c r="I177" i="1" s="1"/>
  <c r="I176" i="1" s="1"/>
  <c r="I175" i="1" s="1"/>
  <c r="I174" i="1" s="1"/>
  <c r="I173" i="1" s="1"/>
  <c r="I172" i="1" s="1"/>
  <c r="I171" i="1" s="1"/>
  <c r="I170" i="1" s="1"/>
  <c r="I169" i="1" s="1"/>
  <c r="I168" i="1" s="1"/>
  <c r="I167" i="1" s="1"/>
  <c r="I166" i="1" s="1"/>
  <c r="I165" i="1" s="1"/>
  <c r="I164" i="1" s="1"/>
  <c r="I163" i="1" s="1"/>
  <c r="I162" i="1" s="1"/>
  <c r="I161" i="1" s="1"/>
  <c r="I160" i="1" s="1"/>
  <c r="I159" i="1" s="1"/>
  <c r="I158" i="1" s="1"/>
  <c r="I157" i="1" s="1"/>
  <c r="I156" i="1" s="1"/>
  <c r="I155" i="1" s="1"/>
  <c r="I154" i="1" s="1"/>
  <c r="I153" i="1" s="1"/>
  <c r="I152" i="1" s="1"/>
  <c r="I151" i="1" s="1"/>
  <c r="I150" i="1" s="1"/>
  <c r="I149" i="1" s="1"/>
  <c r="I148" i="1" s="1"/>
  <c r="I147" i="1" s="1"/>
  <c r="I146" i="1" s="1"/>
  <c r="I145" i="1" s="1"/>
  <c r="I144" i="1" s="1"/>
  <c r="I143" i="1" s="1"/>
  <c r="I142" i="1" s="1"/>
  <c r="I141" i="1" s="1"/>
  <c r="I140" i="1" s="1"/>
  <c r="I139" i="1" s="1"/>
  <c r="I138" i="1" s="1"/>
  <c r="I137" i="1" s="1"/>
  <c r="I136" i="1" s="1"/>
  <c r="I135" i="1" s="1"/>
  <c r="I134" i="1" s="1"/>
  <c r="I133" i="1" s="1"/>
  <c r="I132" i="1" s="1"/>
  <c r="I131" i="1" s="1"/>
  <c r="I130" i="1" s="1"/>
  <c r="I129" i="1" s="1"/>
  <c r="I128" i="1" s="1"/>
  <c r="I127" i="1" s="1"/>
  <c r="I126" i="1" s="1"/>
  <c r="I125" i="1" s="1"/>
  <c r="I124" i="1" s="1"/>
  <c r="I123" i="1" s="1"/>
  <c r="I122" i="1" s="1"/>
  <c r="I121" i="1" s="1"/>
  <c r="I120" i="1" s="1"/>
  <c r="I119" i="1" s="1"/>
  <c r="I118" i="1" s="1"/>
  <c r="I117" i="1" s="1"/>
  <c r="I116" i="1" s="1"/>
  <c r="I115" i="1" s="1"/>
  <c r="I114" i="1" s="1"/>
  <c r="I113" i="1" s="1"/>
  <c r="I112" i="1" s="1"/>
  <c r="I111" i="1" s="1"/>
  <c r="I110" i="1" s="1"/>
  <c r="I109" i="1" s="1"/>
  <c r="I108" i="1" s="1"/>
  <c r="I107" i="1" s="1"/>
  <c r="I106" i="1" s="1"/>
  <c r="I105" i="1" s="1"/>
  <c r="I104" i="1" s="1"/>
  <c r="I103" i="1" s="1"/>
  <c r="I102" i="1" s="1"/>
  <c r="I101" i="1" s="1"/>
  <c r="I100" i="1" s="1"/>
  <c r="I99" i="1" s="1"/>
  <c r="I98" i="1" s="1"/>
  <c r="I97" i="1" s="1"/>
  <c r="I96" i="1" s="1"/>
  <c r="I95" i="1" s="1"/>
  <c r="I94" i="1" s="1"/>
  <c r="I93" i="1" s="1"/>
  <c r="I92" i="1" s="1"/>
  <c r="I91" i="1" s="1"/>
  <c r="I90" i="1" s="1"/>
  <c r="I89" i="1" s="1"/>
  <c r="I88" i="1" s="1"/>
  <c r="I87" i="1" s="1"/>
  <c r="I86" i="1" s="1"/>
  <c r="I85" i="1" s="1"/>
  <c r="I84" i="1" s="1"/>
  <c r="I83" i="1" s="1"/>
  <c r="I82" i="1" s="1"/>
  <c r="I81" i="1" s="1"/>
  <c r="I80" i="1" s="1"/>
  <c r="I79" i="1" s="1"/>
  <c r="I78" i="1" s="1"/>
  <c r="I77" i="1" s="1"/>
  <c r="I76" i="1" s="1"/>
  <c r="I75" i="1" s="1"/>
  <c r="I74" i="1" s="1"/>
  <c r="I73" i="1" s="1"/>
  <c r="I72" i="1" s="1"/>
  <c r="I71" i="1" s="1"/>
  <c r="I70" i="1" s="1"/>
  <c r="I69" i="1" s="1"/>
  <c r="I68" i="1" s="1"/>
  <c r="I67" i="1" s="1"/>
  <c r="I66" i="1" s="1"/>
  <c r="I65" i="1" s="1"/>
  <c r="I64" i="1" s="1"/>
  <c r="I63" i="1" s="1"/>
  <c r="I62" i="1" s="1"/>
  <c r="I61" i="1" s="1"/>
  <c r="I60" i="1" s="1"/>
  <c r="I59" i="1" s="1"/>
  <c r="I58" i="1" s="1"/>
  <c r="I57" i="1" s="1"/>
  <c r="I56" i="1" s="1"/>
  <c r="I55" i="1" s="1"/>
  <c r="I54" i="1" s="1"/>
  <c r="I53" i="1" s="1"/>
  <c r="I52" i="1" s="1"/>
  <c r="I51" i="1" s="1"/>
  <c r="I50" i="1" s="1"/>
  <c r="I49" i="1" s="1"/>
  <c r="I48" i="1" s="1"/>
  <c r="I47" i="1" s="1"/>
  <c r="I46" i="1" s="1"/>
  <c r="I45" i="1" s="1"/>
  <c r="I44" i="1" s="1"/>
  <c r="I43" i="1" s="1"/>
  <c r="I42" i="1" s="1"/>
  <c r="I41" i="1" s="1"/>
  <c r="I40" i="1" s="1"/>
  <c r="I39" i="1" s="1"/>
  <c r="I38" i="1" s="1"/>
  <c r="J55" i="1" l="1"/>
  <c r="J54" i="1" s="1"/>
  <c r="J53" i="1" s="1"/>
  <c r="J52" i="1" s="1"/>
  <c r="J51" i="1" s="1"/>
  <c r="J50" i="1" s="1"/>
  <c r="J49" i="1" s="1"/>
  <c r="J48" i="1" s="1"/>
  <c r="J47" i="1" s="1"/>
  <c r="J46" i="1" s="1"/>
  <c r="J45" i="1" s="1"/>
  <c r="J44" i="1" s="1"/>
  <c r="J43" i="1" s="1"/>
  <c r="J42" i="1" s="1"/>
  <c r="J41" i="1" s="1"/>
  <c r="J40" i="1" s="1"/>
  <c r="J39" i="1" s="1"/>
  <c r="J38" i="1"/>
  <c r="D51" i="1"/>
  <c r="D3539" i="1"/>
  <c r="D3538" i="1"/>
  <c r="D3537" i="1"/>
  <c r="D3536" i="1"/>
  <c r="D3535" i="1"/>
  <c r="D3534" i="1"/>
  <c r="D3533" i="1"/>
  <c r="D3532" i="1"/>
  <c r="D3531" i="1"/>
  <c r="D3530" i="1"/>
  <c r="D3529" i="1"/>
  <c r="D3528" i="1"/>
  <c r="D3527" i="1"/>
  <c r="D3526" i="1"/>
  <c r="D3525" i="1"/>
  <c r="D3524" i="1"/>
  <c r="D3523" i="1"/>
  <c r="D3522" i="1"/>
  <c r="D3521" i="1"/>
  <c r="D3520" i="1"/>
  <c r="D3519" i="1"/>
  <c r="D3518" i="1"/>
  <c r="D3517" i="1"/>
  <c r="D3516" i="1"/>
  <c r="D3515" i="1"/>
  <c r="D3514" i="1"/>
  <c r="D3513" i="1"/>
  <c r="D3512" i="1"/>
  <c r="D3511" i="1"/>
  <c r="D3510" i="1"/>
  <c r="D3509" i="1"/>
  <c r="D3508" i="1"/>
  <c r="D3507" i="1"/>
  <c r="D3506" i="1"/>
  <c r="D3505" i="1"/>
  <c r="D3504" i="1"/>
  <c r="D3503" i="1"/>
  <c r="D3502" i="1"/>
  <c r="D3501" i="1"/>
  <c r="D3500" i="1"/>
  <c r="D3499" i="1"/>
  <c r="D3498" i="1"/>
  <c r="D3497" i="1"/>
  <c r="D3496" i="1"/>
  <c r="D3495" i="1"/>
  <c r="D3494" i="1"/>
  <c r="D3493" i="1"/>
  <c r="D3492" i="1"/>
  <c r="D3491" i="1"/>
  <c r="D3490" i="1"/>
  <c r="D3489" i="1"/>
  <c r="D3488" i="1"/>
  <c r="D3487" i="1"/>
  <c r="D3486" i="1"/>
  <c r="D3485" i="1"/>
  <c r="D3484" i="1"/>
  <c r="D3483" i="1"/>
  <c r="D3482" i="1"/>
  <c r="D3481" i="1"/>
  <c r="D3480" i="1"/>
  <c r="D3479" i="1"/>
  <c r="D3478" i="1"/>
  <c r="D3477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1"/>
  <c r="D3111" i="1"/>
  <c r="D3110" i="1"/>
  <c r="D3109" i="1"/>
  <c r="D3108" i="1"/>
  <c r="D3107" i="1"/>
  <c r="D3106" i="1"/>
  <c r="D3105" i="1"/>
  <c r="D3104" i="1"/>
  <c r="D3103" i="1"/>
  <c r="D3102" i="1"/>
  <c r="D3101" i="1"/>
  <c r="D3100" i="1"/>
  <c r="D3099" i="1"/>
  <c r="D3098" i="1"/>
  <c r="D3097" i="1"/>
  <c r="D3096" i="1"/>
  <c r="D3095" i="1"/>
  <c r="D3094" i="1"/>
  <c r="D3093" i="1"/>
  <c r="D3092" i="1"/>
  <c r="D3091" i="1"/>
  <c r="D3090" i="1"/>
  <c r="D3089" i="1"/>
  <c r="D3088" i="1"/>
  <c r="D3087" i="1"/>
  <c r="D3086" i="1"/>
  <c r="D3085" i="1"/>
  <c r="D3084" i="1"/>
  <c r="D3083" i="1"/>
  <c r="D3082" i="1"/>
  <c r="D3081" i="1"/>
  <c r="D3080" i="1"/>
  <c r="D3079" i="1"/>
  <c r="D3078" i="1"/>
  <c r="D3077" i="1"/>
  <c r="D3076" i="1"/>
  <c r="D3075" i="1"/>
  <c r="D3074" i="1"/>
  <c r="D3073" i="1"/>
  <c r="D3072" i="1"/>
  <c r="D3071" i="1"/>
  <c r="D3070" i="1"/>
  <c r="D3069" i="1"/>
  <c r="D3068" i="1"/>
  <c r="D3067" i="1"/>
  <c r="D3066" i="1"/>
  <c r="D3065" i="1"/>
  <c r="D3064" i="1"/>
  <c r="D3063" i="1"/>
  <c r="D3062" i="1"/>
  <c r="D3061" i="1"/>
  <c r="D3060" i="1"/>
  <c r="D3059" i="1"/>
  <c r="D3058" i="1"/>
  <c r="D3057" i="1"/>
  <c r="D3056" i="1"/>
  <c r="D3055" i="1"/>
  <c r="D3054" i="1"/>
  <c r="D3053" i="1"/>
  <c r="D3052" i="1"/>
  <c r="D3051" i="1"/>
  <c r="D3050" i="1"/>
  <c r="D3049" i="1"/>
  <c r="D3048" i="1"/>
  <c r="D3047" i="1"/>
  <c r="D3046" i="1"/>
  <c r="D3045" i="1"/>
  <c r="D3044" i="1"/>
  <c r="D3043" i="1"/>
  <c r="D3042" i="1"/>
  <c r="D3041" i="1"/>
  <c r="D3040" i="1"/>
  <c r="D3039" i="1"/>
  <c r="D3038" i="1"/>
  <c r="D3037" i="1"/>
  <c r="D3036" i="1"/>
  <c r="D3035" i="1"/>
  <c r="D3034" i="1"/>
  <c r="D3033" i="1"/>
  <c r="D3032" i="1"/>
  <c r="D3031" i="1"/>
  <c r="D3030" i="1"/>
  <c r="D3029" i="1"/>
  <c r="D3028" i="1"/>
  <c r="D3027" i="1"/>
  <c r="D3026" i="1"/>
  <c r="D3025" i="1"/>
  <c r="D3024" i="1"/>
  <c r="D3023" i="1"/>
  <c r="D3022" i="1"/>
  <c r="D3021" i="1"/>
  <c r="D3020" i="1"/>
  <c r="D3019" i="1"/>
  <c r="D3018" i="1"/>
  <c r="D3017" i="1"/>
  <c r="D3016" i="1"/>
  <c r="D3015" i="1"/>
  <c r="D3014" i="1"/>
  <c r="D3013" i="1"/>
  <c r="D3012" i="1"/>
  <c r="D3011" i="1"/>
  <c r="D3010" i="1"/>
  <c r="D3009" i="1"/>
  <c r="D3008" i="1"/>
  <c r="D3007" i="1"/>
  <c r="D3006" i="1"/>
  <c r="D3005" i="1"/>
  <c r="D3004" i="1"/>
  <c r="D3003" i="1"/>
  <c r="D3002" i="1"/>
  <c r="D3001" i="1"/>
  <c r="D3000" i="1"/>
  <c r="D2999" i="1"/>
  <c r="D2998" i="1"/>
  <c r="D2997" i="1"/>
  <c r="D2996" i="1"/>
  <c r="D2995" i="1"/>
  <c r="D2994" i="1"/>
  <c r="D2993" i="1"/>
  <c r="D2992" i="1"/>
  <c r="D2991" i="1"/>
  <c r="D2990" i="1"/>
  <c r="D2989" i="1"/>
  <c r="D2988" i="1"/>
  <c r="D2987" i="1"/>
  <c r="D2986" i="1"/>
  <c r="D2985" i="1"/>
  <c r="D2984" i="1"/>
  <c r="D2983" i="1"/>
  <c r="D2980" i="1"/>
  <c r="D2979" i="1"/>
  <c r="D2978" i="1"/>
  <c r="D2977" i="1"/>
  <c r="D2976" i="1"/>
  <c r="D2975" i="1"/>
  <c r="D2974" i="1"/>
  <c r="D2973" i="1"/>
  <c r="D2972" i="1"/>
  <c r="D2971" i="1"/>
  <c r="D2970" i="1"/>
  <c r="D2969" i="1"/>
  <c r="D2968" i="1"/>
  <c r="D2967" i="1"/>
  <c r="D2966" i="1"/>
  <c r="D2965" i="1"/>
  <c r="D2964" i="1"/>
  <c r="D2963" i="1"/>
  <c r="D2962" i="1"/>
  <c r="D2961" i="1"/>
  <c r="D2960" i="1"/>
  <c r="D2959" i="1"/>
  <c r="D2958" i="1"/>
  <c r="D2957" i="1"/>
  <c r="D2956" i="1"/>
  <c r="D2955" i="1"/>
  <c r="D2954" i="1"/>
  <c r="D2953" i="1"/>
  <c r="D2952" i="1"/>
  <c r="D2951" i="1"/>
  <c r="D2950" i="1"/>
  <c r="D2949" i="1"/>
  <c r="D2948" i="1"/>
  <c r="D2947" i="1"/>
  <c r="D2946" i="1"/>
  <c r="D2945" i="1"/>
  <c r="D2944" i="1"/>
  <c r="D2943" i="1"/>
  <c r="D2942" i="1"/>
  <c r="D2941" i="1"/>
  <c r="D2940" i="1"/>
  <c r="D2939" i="1"/>
  <c r="D2938" i="1"/>
  <c r="D2937" i="1"/>
  <c r="D2936" i="1"/>
  <c r="D2935" i="1"/>
  <c r="D2934" i="1"/>
  <c r="D2933" i="1"/>
  <c r="D2932" i="1"/>
  <c r="D2931" i="1"/>
  <c r="D2930" i="1"/>
  <c r="D2929" i="1"/>
  <c r="D2928" i="1"/>
  <c r="D2927" i="1"/>
  <c r="D2926" i="1"/>
  <c r="D2925" i="1"/>
  <c r="D2924" i="1"/>
  <c r="D2923" i="1"/>
  <c r="D2922" i="1"/>
  <c r="D2921" i="1"/>
  <c r="D2920" i="1"/>
  <c r="D2919" i="1"/>
  <c r="D2918" i="1"/>
  <c r="D2917" i="1"/>
  <c r="D2916" i="1"/>
  <c r="D2915" i="1"/>
  <c r="D2914" i="1"/>
  <c r="D2913" i="1"/>
  <c r="D2912" i="1"/>
  <c r="D2911" i="1"/>
  <c r="D2910" i="1"/>
  <c r="D2909" i="1"/>
  <c r="D2908" i="1"/>
  <c r="D2907" i="1"/>
  <c r="D2906" i="1"/>
  <c r="D2905" i="1"/>
  <c r="D2904" i="1"/>
  <c r="D2903" i="1"/>
  <c r="D2902" i="1"/>
  <c r="D2901" i="1"/>
  <c r="D2900" i="1"/>
  <c r="D2899" i="1"/>
  <c r="D2898" i="1"/>
  <c r="D2897" i="1"/>
  <c r="D2896" i="1"/>
  <c r="D2895" i="1"/>
  <c r="D2894" i="1"/>
  <c r="D2893" i="1"/>
  <c r="D2892" i="1"/>
  <c r="D2891" i="1"/>
  <c r="D2890" i="1"/>
  <c r="D2889" i="1"/>
  <c r="D2888" i="1"/>
  <c r="D2887" i="1"/>
  <c r="D2886" i="1"/>
  <c r="D2885" i="1"/>
  <c r="D2884" i="1"/>
  <c r="D2883" i="1"/>
  <c r="D2882" i="1"/>
  <c r="D2881" i="1"/>
  <c r="D2880" i="1"/>
  <c r="D2879" i="1"/>
  <c r="D2878" i="1"/>
  <c r="D2877" i="1"/>
  <c r="D2876" i="1"/>
  <c r="D2875" i="1"/>
  <c r="D2874" i="1"/>
  <c r="D2873" i="1"/>
  <c r="D2872" i="1"/>
  <c r="D2871" i="1"/>
  <c r="D2870" i="1"/>
  <c r="D2869" i="1"/>
  <c r="D2868" i="1"/>
  <c r="D2867" i="1"/>
  <c r="D2866" i="1"/>
  <c r="D2865" i="1"/>
  <c r="D2864" i="1"/>
  <c r="D2863" i="1"/>
  <c r="D2862" i="1"/>
  <c r="D2861" i="1"/>
  <c r="D2860" i="1"/>
  <c r="D2859" i="1"/>
  <c r="D2858" i="1"/>
  <c r="D2857" i="1"/>
  <c r="D2856" i="1"/>
  <c r="D2855" i="1"/>
  <c r="D2854" i="1"/>
  <c r="D2853" i="1"/>
  <c r="D2852" i="1"/>
  <c r="D2851" i="1"/>
  <c r="D2850" i="1"/>
  <c r="D2849" i="1"/>
  <c r="D2848" i="1"/>
  <c r="D2847" i="1"/>
  <c r="D2846" i="1"/>
  <c r="D2845" i="1"/>
  <c r="D2844" i="1"/>
  <c r="D2843" i="1"/>
  <c r="D2842" i="1"/>
  <c r="D2841" i="1"/>
  <c r="D2840" i="1"/>
  <c r="D2839" i="1"/>
  <c r="D2838" i="1"/>
  <c r="D2837" i="1"/>
  <c r="D2836" i="1"/>
  <c r="D2835" i="1"/>
  <c r="D2834" i="1"/>
  <c r="D2833" i="1"/>
  <c r="D2832" i="1"/>
  <c r="D2831" i="1"/>
  <c r="D2830" i="1"/>
  <c r="D2829" i="1"/>
  <c r="D2828" i="1"/>
  <c r="D2827" i="1"/>
  <c r="D2826" i="1"/>
  <c r="D2825" i="1"/>
  <c r="D2824" i="1"/>
  <c r="D2823" i="1"/>
  <c r="D2822" i="1"/>
  <c r="D2821" i="1"/>
  <c r="D2820" i="1"/>
  <c r="D2819" i="1"/>
  <c r="D2818" i="1"/>
  <c r="D2817" i="1"/>
  <c r="D2816" i="1"/>
  <c r="D2815" i="1"/>
  <c r="D2814" i="1"/>
  <c r="D2813" i="1"/>
  <c r="D2812" i="1"/>
  <c r="D2811" i="1"/>
  <c r="D2810" i="1"/>
  <c r="D2809" i="1"/>
  <c r="D2808" i="1"/>
  <c r="D2807" i="1"/>
  <c r="D2806" i="1"/>
  <c r="D2805" i="1"/>
  <c r="D2804" i="1"/>
  <c r="D2803" i="1"/>
  <c r="D2802" i="1"/>
  <c r="D2801" i="1"/>
  <c r="D2800" i="1"/>
  <c r="D2799" i="1"/>
  <c r="D2798" i="1"/>
  <c r="D2797" i="1"/>
  <c r="D2796" i="1"/>
  <c r="D2795" i="1"/>
  <c r="D2794" i="1"/>
  <c r="D2793" i="1"/>
  <c r="D2792" i="1"/>
  <c r="D2791" i="1"/>
  <c r="D2790" i="1"/>
  <c r="D2789" i="1"/>
  <c r="D2788" i="1"/>
  <c r="D2787" i="1"/>
  <c r="D2786" i="1"/>
  <c r="D2785" i="1"/>
  <c r="D2784" i="1"/>
  <c r="D2783" i="1"/>
  <c r="D2782" i="1"/>
  <c r="D2781" i="1"/>
  <c r="D2780" i="1"/>
  <c r="D2779" i="1"/>
  <c r="D2778" i="1"/>
  <c r="D2777" i="1"/>
  <c r="D2776" i="1"/>
  <c r="D2775" i="1"/>
  <c r="D2774" i="1"/>
  <c r="D2773" i="1"/>
  <c r="D2772" i="1"/>
  <c r="D2771" i="1"/>
  <c r="D2770" i="1"/>
  <c r="D2769" i="1"/>
  <c r="D2768" i="1"/>
  <c r="D2767" i="1"/>
  <c r="D2766" i="1"/>
  <c r="D2765" i="1"/>
  <c r="D2764" i="1"/>
  <c r="D2763" i="1"/>
  <c r="D2762" i="1"/>
  <c r="D2761" i="1"/>
  <c r="D2760" i="1"/>
  <c r="D2759" i="1"/>
  <c r="D2758" i="1"/>
  <c r="D2757" i="1"/>
  <c r="D2756" i="1"/>
  <c r="D2755" i="1"/>
  <c r="D2754" i="1"/>
  <c r="D2753" i="1"/>
  <c r="D2752" i="1"/>
  <c r="D2751" i="1"/>
  <c r="D2750" i="1"/>
  <c r="D2749" i="1"/>
  <c r="D2748" i="1"/>
  <c r="D2747" i="1"/>
  <c r="D2746" i="1"/>
  <c r="D2745" i="1"/>
  <c r="D2744" i="1"/>
  <c r="D2743" i="1"/>
  <c r="D2742" i="1"/>
  <c r="D2741" i="1"/>
  <c r="D2740" i="1"/>
  <c r="D2739" i="1"/>
  <c r="D2738" i="1"/>
  <c r="D2737" i="1"/>
  <c r="D2736" i="1"/>
  <c r="D2735" i="1"/>
  <c r="D2734" i="1"/>
  <c r="D2733" i="1"/>
  <c r="D2732" i="1"/>
  <c r="D2731" i="1"/>
  <c r="D2730" i="1"/>
  <c r="D2729" i="1"/>
  <c r="D2728" i="1"/>
  <c r="D2727" i="1"/>
  <c r="D2726" i="1"/>
  <c r="D2725" i="1"/>
  <c r="D2724" i="1"/>
  <c r="D2723" i="1"/>
  <c r="D2722" i="1"/>
  <c r="D2721" i="1"/>
  <c r="D2720" i="1"/>
  <c r="D2719" i="1"/>
  <c r="D2718" i="1"/>
  <c r="D2717" i="1"/>
  <c r="D2716" i="1"/>
  <c r="D2715" i="1"/>
  <c r="D2714" i="1"/>
  <c r="D2713" i="1"/>
  <c r="D2712" i="1"/>
  <c r="D2711" i="1"/>
  <c r="D2710" i="1"/>
  <c r="D2709" i="1"/>
  <c r="D2708" i="1"/>
  <c r="D2707" i="1"/>
  <c r="D2706" i="1"/>
  <c r="D2705" i="1"/>
  <c r="D2704" i="1"/>
  <c r="D2703" i="1"/>
  <c r="D2702" i="1"/>
  <c r="D2701" i="1"/>
  <c r="D2700" i="1"/>
  <c r="D2699" i="1"/>
  <c r="D2698" i="1"/>
  <c r="D2697" i="1"/>
  <c r="D2696" i="1"/>
  <c r="D2695" i="1"/>
  <c r="D2694" i="1"/>
  <c r="D2693" i="1"/>
  <c r="D2692" i="1"/>
  <c r="D2691" i="1"/>
  <c r="D2690" i="1"/>
  <c r="D2689" i="1"/>
  <c r="D2688" i="1"/>
  <c r="D2687" i="1"/>
  <c r="D2686" i="1"/>
  <c r="D2685" i="1"/>
  <c r="D2684" i="1"/>
  <c r="D2683" i="1"/>
  <c r="D2682" i="1"/>
  <c r="D2681" i="1"/>
  <c r="D2680" i="1"/>
  <c r="D2679" i="1"/>
  <c r="D2678" i="1"/>
  <c r="D2677" i="1"/>
  <c r="D2676" i="1"/>
  <c r="D2675" i="1"/>
  <c r="D2674" i="1"/>
  <c r="D2673" i="1"/>
  <c r="D2672" i="1"/>
  <c r="D2671" i="1"/>
  <c r="D2670" i="1"/>
  <c r="D2669" i="1"/>
  <c r="D2668" i="1"/>
  <c r="D2667" i="1"/>
  <c r="D2666" i="1"/>
  <c r="D2665" i="1"/>
  <c r="D2664" i="1"/>
  <c r="D2663" i="1"/>
  <c r="D2662" i="1"/>
  <c r="D2661" i="1"/>
  <c r="D2660" i="1"/>
  <c r="D2659" i="1"/>
  <c r="D2658" i="1"/>
  <c r="D2657" i="1"/>
  <c r="D2656" i="1"/>
  <c r="D2655" i="1"/>
  <c r="D2654" i="1"/>
  <c r="D2653" i="1"/>
  <c r="D2652" i="1"/>
  <c r="D2651" i="1"/>
  <c r="D2650" i="1"/>
  <c r="D2649" i="1"/>
  <c r="D2648" i="1"/>
  <c r="D2645" i="1"/>
  <c r="D2644" i="1"/>
  <c r="D2643" i="1"/>
  <c r="D2642" i="1"/>
  <c r="D2641" i="1"/>
  <c r="D2640" i="1"/>
  <c r="D2639" i="1"/>
  <c r="D2638" i="1"/>
  <c r="D2637" i="1"/>
  <c r="D2636" i="1"/>
  <c r="D2635" i="1"/>
  <c r="D2634" i="1"/>
  <c r="D2633" i="1"/>
  <c r="D2632" i="1"/>
  <c r="D2631" i="1"/>
  <c r="D2630" i="1"/>
  <c r="D2629" i="1"/>
  <c r="D2628" i="1"/>
  <c r="D2627" i="1"/>
  <c r="D2626" i="1"/>
  <c r="D2625" i="1"/>
  <c r="D2624" i="1"/>
  <c r="D2623" i="1"/>
  <c r="D2622" i="1"/>
  <c r="D2621" i="1"/>
  <c r="D2620" i="1"/>
  <c r="D2619" i="1"/>
  <c r="D2618" i="1"/>
  <c r="D2617" i="1"/>
  <c r="D2616" i="1"/>
  <c r="D2615" i="1"/>
  <c r="D2614" i="1"/>
  <c r="D2613" i="1"/>
  <c r="D2612" i="1"/>
  <c r="D2611" i="1"/>
  <c r="D2610" i="1"/>
  <c r="D2609" i="1"/>
  <c r="D2608" i="1"/>
  <c r="D2607" i="1"/>
  <c r="D2606" i="1"/>
  <c r="D2605" i="1"/>
  <c r="D2604" i="1"/>
  <c r="D2603" i="1"/>
  <c r="D2602" i="1"/>
  <c r="D2601" i="1"/>
  <c r="D2600" i="1"/>
  <c r="D2599" i="1"/>
  <c r="D2598" i="1"/>
  <c r="D2597" i="1"/>
  <c r="D2596" i="1"/>
  <c r="D2595" i="1"/>
  <c r="D2594" i="1"/>
  <c r="D2593" i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</calcChain>
</file>

<file path=xl/sharedStrings.xml><?xml version="1.0" encoding="utf-8"?>
<sst xmlns="http://schemas.openxmlformats.org/spreadsheetml/2006/main" count="10491" uniqueCount="46">
  <si>
    <t>Pick Date</t>
  </si>
  <si>
    <t>Odds</t>
  </si>
  <si>
    <t>NFL</t>
  </si>
  <si>
    <t>Prop</t>
  </si>
  <si>
    <t>Win</t>
  </si>
  <si>
    <t>Spread</t>
  </si>
  <si>
    <t>Loss</t>
  </si>
  <si>
    <t>Total</t>
  </si>
  <si>
    <t>NCAAF</t>
  </si>
  <si>
    <t>Push</t>
  </si>
  <si>
    <t>Teaser</t>
  </si>
  <si>
    <t>Postponed</t>
  </si>
  <si>
    <t>Parlay</t>
  </si>
  <si>
    <t>Sport</t>
  </si>
  <si>
    <t>Type</t>
  </si>
  <si>
    <r>
      <t>Bet Advice</t>
    </r>
    <r>
      <rPr>
        <b/>
        <i/>
        <sz val="14"/>
        <color rgb="FF0000FF"/>
        <rFont val="Calibri"/>
        <family val="2"/>
        <scheme val="minor"/>
      </rPr>
      <t xml:space="preserve"> (Analysis &amp; Archive Linked)</t>
    </r>
  </si>
  <si>
    <t>W/L</t>
  </si>
  <si>
    <t>Career Net Profit</t>
  </si>
  <si>
    <t>ML</t>
  </si>
  <si>
    <t>Season ROI</t>
  </si>
  <si>
    <t>Freddywills.com  -  2019-20 Footbal Pick History</t>
  </si>
  <si>
    <t>Freddywills.com  -  2020-21 Footbal Pick History</t>
  </si>
  <si>
    <t>Each Season restarts with a $100,000 bankroll</t>
  </si>
  <si>
    <t>Freddywills.com  -  2011-12 Footbal Pick History</t>
  </si>
  <si>
    <t>Freddywills.com  -  2016-17 Footbal Pick History</t>
  </si>
  <si>
    <t>Freddywills.com  -  2017-18 Footbal Pick History</t>
  </si>
  <si>
    <t>Freddywills.com  -  2018-19 Footbal Pick History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</si>
  <si>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</si>
  <si>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</si>
  <si>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</si>
  <si>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</si>
  <si>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</si>
  <si>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</si>
  <si>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</si>
  <si>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</si>
  <si>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</si>
  <si>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</si>
  <si>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</si>
  <si>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</si>
  <si>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Year</t>
  </si>
  <si>
    <t>ROI</t>
  </si>
  <si>
    <t xml:space="preserve">Profit </t>
  </si>
  <si>
    <t>Avg. Yearly</t>
  </si>
  <si>
    <t>Yearly profit is based off a one time, initial $100k investment, with profit taken out each year.  This is my own conservative approach toward investing in sports betting.  Each year I bank my profit and restart the following season with the same $100,000 bankroll.</t>
  </si>
  <si>
    <t>% of Bank Roll</t>
  </si>
  <si>
    <t>Net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</si>
</sst>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m/d/yy;@"/>
    <numFmt numFmtId="165" formatCode="&quot;$&quot;#,##0.00"/>
    <numFmt numFmtId="166" formatCode="0.0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8" fontId="0" fillId="0" borderId="0" xfId="0" applyNumberFormat="1"/>
    <xf numFmtId="0" fontId="2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2" fillId="34" borderId="0" xfId="0" applyFont="1" applyFill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42" applyFont="1" applyAlignment="1" applyProtection="1">
      <alignment horizontal="center" vertical="center"/>
      <protection locked="0"/>
    </xf>
    <xf numFmtId="8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165" fontId="23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2" fillId="35" borderId="0" xfId="0" applyFont="1" applyFill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6" fontId="22" fillId="35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horizontal="center" vertical="center"/>
    </xf>
    <xf numFmtId="0" fontId="25" fillId="0" borderId="0" xfId="42" applyFont="1" applyAlignment="1" applyProtection="1">
      <alignment horizontal="center" vertical="center"/>
      <protection locked="0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0" fillId="37" borderId="13" xfId="0" applyFont="1" applyFill="1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0" fillId="37" borderId="15" xfId="0" applyFont="1" applyFill="1" applyBorder="1" applyAlignment="1">
      <alignment wrapText="1"/>
    </xf>
    <xf numFmtId="0" fontId="0" fillId="37" borderId="16" xfId="0" applyFill="1" applyBorder="1" applyAlignment="1">
      <alignment wrapText="1"/>
    </xf>
    <xf numFmtId="0" fontId="0" fillId="37" borderId="0" xfId="0" applyFill="1" applyBorder="1" applyAlignment="1">
      <alignment wrapText="1"/>
    </xf>
    <xf numFmtId="0" fontId="0" fillId="37" borderId="17" xfId="0" applyFill="1" applyBorder="1" applyAlignment="1">
      <alignment wrapText="1"/>
    </xf>
    <xf numFmtId="0" fontId="0" fillId="37" borderId="18" xfId="0" applyFill="1" applyBorder="1" applyAlignment="1">
      <alignment wrapText="1"/>
    </xf>
    <xf numFmtId="0" fontId="0" fillId="37" borderId="19" xfId="0" applyFill="1" applyBorder="1" applyAlignment="1">
      <alignment wrapText="1"/>
    </xf>
    <xf numFmtId="0" fontId="0" fillId="37" borderId="20" xfId="0" applyFill="1" applyBorder="1" applyAlignment="1">
      <alignment wrapText="1"/>
    </xf>
    <xf numFmtId="0" fontId="17" fillId="36" borderId="13" xfId="0" applyFont="1" applyFill="1" applyBorder="1" applyAlignment="1">
      <alignment horizontal="center" vertical="center"/>
    </xf>
    <xf numFmtId="0" fontId="17" fillId="36" borderId="14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16" fontId="0" fillId="0" borderId="16" xfId="0" applyNumberFormat="1" applyFont="1" applyBorder="1"/>
    <xf numFmtId="10" fontId="0" fillId="0" borderId="0" xfId="0" applyNumberFormat="1" applyFont="1" applyBorder="1"/>
    <xf numFmtId="0" fontId="0" fillId="0" borderId="16" xfId="0" applyFont="1" applyBorder="1"/>
    <xf numFmtId="0" fontId="13" fillId="36" borderId="18" xfId="0" applyFont="1" applyFill="1" applyBorder="1"/>
    <xf numFmtId="10" fontId="13" fillId="36" borderId="19" xfId="0" applyNumberFormat="1" applyFont="1" applyFill="1" applyBorder="1"/>
    <xf numFmtId="165" fontId="13" fillId="36" borderId="20" xfId="0" applyNumberFormat="1" applyFont="1" applyFill="1" applyBorder="1"/>
    <xf numFmtId="8" fontId="0" fillId="0" borderId="17" xfId="0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NFL</a:t>
            </a:r>
            <a:r>
              <a:rPr lang="en-US" baseline="0"/>
              <a:t> &amp; College Football - Career Profit (2009-2021)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155575645068907E-2"/>
          <c:y val="0.11596754093271157"/>
          <c:w val="0.93782163732600909"/>
          <c:h val="0.84386251416653568"/>
        </c:manualLayout>
      </c:layout>
      <c:lineChart>
        <c:grouping val="standard"/>
        <c:varyColors val="0"/>
        <c:ser>
          <c:idx val="0"/>
          <c:order val="0"/>
          <c:tx>
            <c:strRef>
              <c:f>'[1]Freddywills''s_Records_-_08-03-2'!$J$2</c:f>
              <c:strCache>
                <c:ptCount val="1"/>
                <c:pt idx="0">
                  <c:v>career profit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'[1]Freddywills''s_Records_-_08-03-2'!$J$3:$J$3483</c:f>
              <c:numCache>
                <c:formatCode>General</c:formatCode>
                <c:ptCount val="3481"/>
                <c:pt idx="0">
                  <c:v>0</c:v>
                </c:pt>
                <c:pt idx="1">
                  <c:v>-1100</c:v>
                </c:pt>
                <c:pt idx="2">
                  <c:v>900</c:v>
                </c:pt>
                <c:pt idx="3">
                  <c:v>3900</c:v>
                </c:pt>
                <c:pt idx="4">
                  <c:v>5900</c:v>
                </c:pt>
                <c:pt idx="5">
                  <c:v>5900</c:v>
                </c:pt>
                <c:pt idx="6">
                  <c:v>7900</c:v>
                </c:pt>
                <c:pt idx="7">
                  <c:v>4600</c:v>
                </c:pt>
                <c:pt idx="8">
                  <c:v>7600</c:v>
                </c:pt>
                <c:pt idx="9">
                  <c:v>5400</c:v>
                </c:pt>
                <c:pt idx="10">
                  <c:v>2100</c:v>
                </c:pt>
                <c:pt idx="11">
                  <c:v>-900</c:v>
                </c:pt>
                <c:pt idx="12">
                  <c:v>-900</c:v>
                </c:pt>
                <c:pt idx="13">
                  <c:v>-2900</c:v>
                </c:pt>
                <c:pt idx="14">
                  <c:v>-1990.9099999999999</c:v>
                </c:pt>
                <c:pt idx="15">
                  <c:v>1645.4500000000003</c:v>
                </c:pt>
                <c:pt idx="16">
                  <c:v>-854.54999999999973</c:v>
                </c:pt>
                <c:pt idx="17">
                  <c:v>2145.4500000000003</c:v>
                </c:pt>
                <c:pt idx="18">
                  <c:v>-1154.5499999999997</c:v>
                </c:pt>
                <c:pt idx="19">
                  <c:v>845.45000000000027</c:v>
                </c:pt>
                <c:pt idx="20">
                  <c:v>-2454.5499999999997</c:v>
                </c:pt>
                <c:pt idx="21">
                  <c:v>-3554.5499999999997</c:v>
                </c:pt>
                <c:pt idx="22">
                  <c:v>-6854.5499999999993</c:v>
                </c:pt>
                <c:pt idx="23">
                  <c:v>-2854.5499999999993</c:v>
                </c:pt>
                <c:pt idx="24">
                  <c:v>1145.4500000000007</c:v>
                </c:pt>
                <c:pt idx="25">
                  <c:v>3145.4500000000007</c:v>
                </c:pt>
                <c:pt idx="26">
                  <c:v>-154.54999999999927</c:v>
                </c:pt>
                <c:pt idx="27">
                  <c:v>845.45000000000073</c:v>
                </c:pt>
                <c:pt idx="28">
                  <c:v>-3554.5499999999993</c:v>
                </c:pt>
                <c:pt idx="29">
                  <c:v>-6054.5499999999993</c:v>
                </c:pt>
                <c:pt idx="30">
                  <c:v>-3054.5499999999993</c:v>
                </c:pt>
                <c:pt idx="31">
                  <c:v>945.45000000000073</c:v>
                </c:pt>
                <c:pt idx="32">
                  <c:v>-1254.5499999999993</c:v>
                </c:pt>
                <c:pt idx="33">
                  <c:v>1745.4500000000007</c:v>
                </c:pt>
                <c:pt idx="34">
                  <c:v>2745.4500000000007</c:v>
                </c:pt>
                <c:pt idx="35">
                  <c:v>5745.4500000000007</c:v>
                </c:pt>
                <c:pt idx="36">
                  <c:v>7745.4500000000007</c:v>
                </c:pt>
                <c:pt idx="37">
                  <c:v>3345.4500000000007</c:v>
                </c:pt>
                <c:pt idx="38">
                  <c:v>1145.4500000000007</c:v>
                </c:pt>
                <c:pt idx="39">
                  <c:v>-2354.5499999999993</c:v>
                </c:pt>
                <c:pt idx="40">
                  <c:v>-536.36999999999921</c:v>
                </c:pt>
                <c:pt idx="41">
                  <c:v>2645.4500000000007</c:v>
                </c:pt>
                <c:pt idx="42">
                  <c:v>-1854.5499999999993</c:v>
                </c:pt>
                <c:pt idx="43">
                  <c:v>-5854.5499999999993</c:v>
                </c:pt>
                <c:pt idx="44">
                  <c:v>-3581.8199999999993</c:v>
                </c:pt>
                <c:pt idx="45">
                  <c:v>-1763.6399999999992</c:v>
                </c:pt>
                <c:pt idx="46">
                  <c:v>54.540000000000873</c:v>
                </c:pt>
                <c:pt idx="47">
                  <c:v>-1045.4599999999991</c:v>
                </c:pt>
                <c:pt idx="48">
                  <c:v>-45.459999999999127</c:v>
                </c:pt>
                <c:pt idx="49">
                  <c:v>-2545.4599999999991</c:v>
                </c:pt>
                <c:pt idx="50">
                  <c:v>181.81000000000085</c:v>
                </c:pt>
                <c:pt idx="51">
                  <c:v>3818.170000000001</c:v>
                </c:pt>
                <c:pt idx="52">
                  <c:v>818.17000000000098</c:v>
                </c:pt>
                <c:pt idx="53">
                  <c:v>-181.82999999999902</c:v>
                </c:pt>
                <c:pt idx="54">
                  <c:v>-3181.829999999999</c:v>
                </c:pt>
                <c:pt idx="55">
                  <c:v>-6181.829999999999</c:v>
                </c:pt>
                <c:pt idx="56">
                  <c:v>-2090.9199999999992</c:v>
                </c:pt>
                <c:pt idx="57">
                  <c:v>181.81000000000085</c:v>
                </c:pt>
                <c:pt idx="58">
                  <c:v>1545.450000000001</c:v>
                </c:pt>
                <c:pt idx="59">
                  <c:v>-1454.549999999999</c:v>
                </c:pt>
                <c:pt idx="60">
                  <c:v>-5454.5499999999993</c:v>
                </c:pt>
                <c:pt idx="61">
                  <c:v>-1818.1899999999991</c:v>
                </c:pt>
                <c:pt idx="62">
                  <c:v>-4818.1899999999987</c:v>
                </c:pt>
                <c:pt idx="63">
                  <c:v>-1636.3699999999985</c:v>
                </c:pt>
                <c:pt idx="64">
                  <c:v>-3136.3699999999985</c:v>
                </c:pt>
                <c:pt idx="65">
                  <c:v>-6136.369999999999</c:v>
                </c:pt>
                <c:pt idx="66">
                  <c:v>-5227.2799999999988</c:v>
                </c:pt>
                <c:pt idx="67">
                  <c:v>-1590.9199999999987</c:v>
                </c:pt>
                <c:pt idx="68">
                  <c:v>2499.9900000000011</c:v>
                </c:pt>
                <c:pt idx="69">
                  <c:v>-1000.0099999999989</c:v>
                </c:pt>
                <c:pt idx="70">
                  <c:v>2049.9900000000011</c:v>
                </c:pt>
                <c:pt idx="71">
                  <c:v>4658.6900000000005</c:v>
                </c:pt>
                <c:pt idx="72">
                  <c:v>9204.14</c:v>
                </c:pt>
                <c:pt idx="73">
                  <c:v>9204.14</c:v>
                </c:pt>
                <c:pt idx="74">
                  <c:v>10567.779999999999</c:v>
                </c:pt>
                <c:pt idx="75">
                  <c:v>14658.689999999999</c:v>
                </c:pt>
                <c:pt idx="76">
                  <c:v>13658.689999999999</c:v>
                </c:pt>
                <c:pt idx="77">
                  <c:v>10158.689999999999</c:v>
                </c:pt>
                <c:pt idx="78">
                  <c:v>6658.6899999999987</c:v>
                </c:pt>
                <c:pt idx="79">
                  <c:v>2658.6899999999987</c:v>
                </c:pt>
                <c:pt idx="80">
                  <c:v>5385.9599999999991</c:v>
                </c:pt>
                <c:pt idx="81">
                  <c:v>8429.4399999999987</c:v>
                </c:pt>
                <c:pt idx="82">
                  <c:v>5929.4399999999987</c:v>
                </c:pt>
                <c:pt idx="83">
                  <c:v>9565.7999999999993</c:v>
                </c:pt>
                <c:pt idx="84">
                  <c:v>6565.7999999999993</c:v>
                </c:pt>
                <c:pt idx="85">
                  <c:v>11111.25</c:v>
                </c:pt>
                <c:pt idx="86">
                  <c:v>14920.77</c:v>
                </c:pt>
                <c:pt idx="87">
                  <c:v>13420.77</c:v>
                </c:pt>
                <c:pt idx="88">
                  <c:v>16602.59</c:v>
                </c:pt>
                <c:pt idx="89">
                  <c:v>17511.68</c:v>
                </c:pt>
                <c:pt idx="90">
                  <c:v>12511.68</c:v>
                </c:pt>
                <c:pt idx="91">
                  <c:v>9511.68</c:v>
                </c:pt>
                <c:pt idx="92">
                  <c:v>5011.68</c:v>
                </c:pt>
                <c:pt idx="93">
                  <c:v>1011.6800000000003</c:v>
                </c:pt>
                <c:pt idx="94">
                  <c:v>-1988.3199999999997</c:v>
                </c:pt>
                <c:pt idx="95">
                  <c:v>-5988.32</c:v>
                </c:pt>
                <c:pt idx="96">
                  <c:v>-3715.5899999999997</c:v>
                </c:pt>
                <c:pt idx="97">
                  <c:v>-5715.59</c:v>
                </c:pt>
                <c:pt idx="98">
                  <c:v>-1624.6800000000003</c:v>
                </c:pt>
                <c:pt idx="99">
                  <c:v>-624.68000000000029</c:v>
                </c:pt>
                <c:pt idx="100">
                  <c:v>-624.68000000000029</c:v>
                </c:pt>
                <c:pt idx="101">
                  <c:v>3011.68</c:v>
                </c:pt>
                <c:pt idx="102">
                  <c:v>4375.32</c:v>
                </c:pt>
                <c:pt idx="103">
                  <c:v>375.31999999999971</c:v>
                </c:pt>
                <c:pt idx="104">
                  <c:v>1738.9599999999998</c:v>
                </c:pt>
                <c:pt idx="105">
                  <c:v>4466.2299999999996</c:v>
                </c:pt>
                <c:pt idx="106">
                  <c:v>5466.23</c:v>
                </c:pt>
                <c:pt idx="107">
                  <c:v>6375.32</c:v>
                </c:pt>
                <c:pt idx="108">
                  <c:v>1375.3199999999997</c:v>
                </c:pt>
                <c:pt idx="109">
                  <c:v>-1924.6800000000003</c:v>
                </c:pt>
                <c:pt idx="110">
                  <c:v>-4924.68</c:v>
                </c:pt>
                <c:pt idx="111">
                  <c:v>-5424.68</c:v>
                </c:pt>
                <c:pt idx="112">
                  <c:v>-3224.6800000000003</c:v>
                </c:pt>
                <c:pt idx="113">
                  <c:v>-7224.68</c:v>
                </c:pt>
                <c:pt idx="114">
                  <c:v>-4497.41</c:v>
                </c:pt>
                <c:pt idx="115">
                  <c:v>-1315.5899999999997</c:v>
                </c:pt>
                <c:pt idx="116">
                  <c:v>2775.32</c:v>
                </c:pt>
                <c:pt idx="117">
                  <c:v>3684.4100000000003</c:v>
                </c:pt>
                <c:pt idx="118">
                  <c:v>6866.2300000000005</c:v>
                </c:pt>
                <c:pt idx="119">
                  <c:v>9593.5</c:v>
                </c:pt>
                <c:pt idx="120">
                  <c:v>4593.5</c:v>
                </c:pt>
                <c:pt idx="121">
                  <c:v>1093.5</c:v>
                </c:pt>
                <c:pt idx="122">
                  <c:v>-1906.5</c:v>
                </c:pt>
                <c:pt idx="123">
                  <c:v>-5906.5</c:v>
                </c:pt>
                <c:pt idx="124">
                  <c:v>-2724.68</c:v>
                </c:pt>
                <c:pt idx="125">
                  <c:v>1366.23</c:v>
                </c:pt>
                <c:pt idx="126">
                  <c:v>-2633.77</c:v>
                </c:pt>
                <c:pt idx="127">
                  <c:v>-6133.77</c:v>
                </c:pt>
                <c:pt idx="128">
                  <c:v>-2497.4100000000003</c:v>
                </c:pt>
                <c:pt idx="129">
                  <c:v>-697.41000000000031</c:v>
                </c:pt>
                <c:pt idx="130">
                  <c:v>-1197.4100000000003</c:v>
                </c:pt>
                <c:pt idx="131">
                  <c:v>1802.5899999999997</c:v>
                </c:pt>
                <c:pt idx="132">
                  <c:v>802.58999999999969</c:v>
                </c:pt>
                <c:pt idx="133">
                  <c:v>1802.5899999999997</c:v>
                </c:pt>
                <c:pt idx="134">
                  <c:v>5893.5</c:v>
                </c:pt>
                <c:pt idx="135">
                  <c:v>8393.5</c:v>
                </c:pt>
                <c:pt idx="136">
                  <c:v>4393.5</c:v>
                </c:pt>
                <c:pt idx="137">
                  <c:v>1393.5</c:v>
                </c:pt>
                <c:pt idx="138">
                  <c:v>393.5</c:v>
                </c:pt>
                <c:pt idx="139">
                  <c:v>-4606.5</c:v>
                </c:pt>
                <c:pt idx="140">
                  <c:v>-796.98</c:v>
                </c:pt>
                <c:pt idx="141">
                  <c:v>2384.84</c:v>
                </c:pt>
                <c:pt idx="142">
                  <c:v>5269.46</c:v>
                </c:pt>
                <c:pt idx="143">
                  <c:v>4169.46</c:v>
                </c:pt>
                <c:pt idx="144">
                  <c:v>7943.04</c:v>
                </c:pt>
                <c:pt idx="145">
                  <c:v>12033.95</c:v>
                </c:pt>
                <c:pt idx="146">
                  <c:v>15670.310000000001</c:v>
                </c:pt>
                <c:pt idx="147">
                  <c:v>12670.310000000001</c:v>
                </c:pt>
                <c:pt idx="148">
                  <c:v>15852.130000000001</c:v>
                </c:pt>
                <c:pt idx="149">
                  <c:v>11852.130000000001</c:v>
                </c:pt>
                <c:pt idx="150">
                  <c:v>8352.130000000001</c:v>
                </c:pt>
                <c:pt idx="151">
                  <c:v>11079.400000000001</c:v>
                </c:pt>
                <c:pt idx="152">
                  <c:v>10079.400000000001</c:v>
                </c:pt>
                <c:pt idx="153">
                  <c:v>14104.400000000001</c:v>
                </c:pt>
                <c:pt idx="154">
                  <c:v>9604.4000000000015</c:v>
                </c:pt>
                <c:pt idx="155">
                  <c:v>12521.070000000002</c:v>
                </c:pt>
                <c:pt idx="156">
                  <c:v>9521.0700000000015</c:v>
                </c:pt>
                <c:pt idx="157">
                  <c:v>12248.340000000002</c:v>
                </c:pt>
                <c:pt idx="158">
                  <c:v>8248.340000000002</c:v>
                </c:pt>
                <c:pt idx="159">
                  <c:v>11884.700000000003</c:v>
                </c:pt>
                <c:pt idx="160">
                  <c:v>14611.970000000003</c:v>
                </c:pt>
                <c:pt idx="161">
                  <c:v>17793.790000000005</c:v>
                </c:pt>
                <c:pt idx="162">
                  <c:v>15293.790000000005</c:v>
                </c:pt>
                <c:pt idx="163">
                  <c:v>18997.490000000005</c:v>
                </c:pt>
                <c:pt idx="164">
                  <c:v>16997.490000000005</c:v>
                </c:pt>
                <c:pt idx="165">
                  <c:v>15497.490000000005</c:v>
                </c:pt>
                <c:pt idx="166">
                  <c:v>11997.490000000005</c:v>
                </c:pt>
                <c:pt idx="167">
                  <c:v>16088.400000000005</c:v>
                </c:pt>
                <c:pt idx="168">
                  <c:v>19724.760000000006</c:v>
                </c:pt>
                <c:pt idx="169">
                  <c:v>22906.580000000005</c:v>
                </c:pt>
                <c:pt idx="170">
                  <c:v>18406.580000000005</c:v>
                </c:pt>
                <c:pt idx="171">
                  <c:v>21588.400000000005</c:v>
                </c:pt>
                <c:pt idx="172">
                  <c:v>17588.400000000005</c:v>
                </c:pt>
                <c:pt idx="173">
                  <c:v>20392.140000000007</c:v>
                </c:pt>
                <c:pt idx="174">
                  <c:v>21301.230000000007</c:v>
                </c:pt>
                <c:pt idx="175">
                  <c:v>17801.230000000007</c:v>
                </c:pt>
                <c:pt idx="176">
                  <c:v>20801.230000000007</c:v>
                </c:pt>
                <c:pt idx="177">
                  <c:v>24892.140000000007</c:v>
                </c:pt>
                <c:pt idx="178">
                  <c:v>20392.140000000007</c:v>
                </c:pt>
                <c:pt idx="179">
                  <c:v>17892.140000000007</c:v>
                </c:pt>
                <c:pt idx="180">
                  <c:v>21983.050000000007</c:v>
                </c:pt>
                <c:pt idx="181">
                  <c:v>20983.050000000007</c:v>
                </c:pt>
                <c:pt idx="182">
                  <c:v>17483.050000000007</c:v>
                </c:pt>
                <c:pt idx="183">
                  <c:v>21119.410000000007</c:v>
                </c:pt>
                <c:pt idx="184">
                  <c:v>17119.410000000007</c:v>
                </c:pt>
                <c:pt idx="185">
                  <c:v>13619.410000000007</c:v>
                </c:pt>
                <c:pt idx="186">
                  <c:v>10619.410000000007</c:v>
                </c:pt>
                <c:pt idx="187">
                  <c:v>15164.860000000008</c:v>
                </c:pt>
                <c:pt idx="188">
                  <c:v>16528.500000000007</c:v>
                </c:pt>
                <c:pt idx="189">
                  <c:v>18478.500000000007</c:v>
                </c:pt>
                <c:pt idx="190">
                  <c:v>22569.410000000007</c:v>
                </c:pt>
                <c:pt idx="191">
                  <c:v>18069.410000000007</c:v>
                </c:pt>
                <c:pt idx="192">
                  <c:v>14769.410000000007</c:v>
                </c:pt>
                <c:pt idx="193">
                  <c:v>18405.770000000008</c:v>
                </c:pt>
                <c:pt idx="194">
                  <c:v>14405.770000000008</c:v>
                </c:pt>
                <c:pt idx="195">
                  <c:v>12405.770000000008</c:v>
                </c:pt>
                <c:pt idx="196">
                  <c:v>16496.680000000008</c:v>
                </c:pt>
                <c:pt idx="197">
                  <c:v>13496.680000000008</c:v>
                </c:pt>
                <c:pt idx="198">
                  <c:v>10496.680000000008</c:v>
                </c:pt>
                <c:pt idx="199">
                  <c:v>14133.040000000008</c:v>
                </c:pt>
                <c:pt idx="200">
                  <c:v>11133.040000000008</c:v>
                </c:pt>
                <c:pt idx="201">
                  <c:v>14314.860000000008</c:v>
                </c:pt>
                <c:pt idx="202">
                  <c:v>14314.860000000008</c:v>
                </c:pt>
                <c:pt idx="203">
                  <c:v>10314.860000000008</c:v>
                </c:pt>
                <c:pt idx="204">
                  <c:v>14405.770000000008</c:v>
                </c:pt>
                <c:pt idx="205">
                  <c:v>10005.770000000008</c:v>
                </c:pt>
                <c:pt idx="206">
                  <c:v>5505.7700000000077</c:v>
                </c:pt>
                <c:pt idx="207">
                  <c:v>8687.5900000000074</c:v>
                </c:pt>
                <c:pt idx="208">
                  <c:v>10137.590000000007</c:v>
                </c:pt>
                <c:pt idx="209">
                  <c:v>12657.590000000007</c:v>
                </c:pt>
                <c:pt idx="210">
                  <c:v>15657.590000000007</c:v>
                </c:pt>
                <c:pt idx="211">
                  <c:v>18990.920000000006</c:v>
                </c:pt>
                <c:pt idx="212">
                  <c:v>17990.920000000006</c:v>
                </c:pt>
                <c:pt idx="213">
                  <c:v>21172.740000000005</c:v>
                </c:pt>
                <c:pt idx="214">
                  <c:v>25263.650000000005</c:v>
                </c:pt>
                <c:pt idx="215">
                  <c:v>22263.650000000005</c:v>
                </c:pt>
                <c:pt idx="216">
                  <c:v>22263.650000000005</c:v>
                </c:pt>
                <c:pt idx="217">
                  <c:v>17863.650000000005</c:v>
                </c:pt>
                <c:pt idx="218">
                  <c:v>16863.650000000005</c:v>
                </c:pt>
                <c:pt idx="219">
                  <c:v>20500.010000000006</c:v>
                </c:pt>
                <c:pt idx="220">
                  <c:v>24136.370000000006</c:v>
                </c:pt>
                <c:pt idx="221">
                  <c:v>27318.190000000006</c:v>
                </c:pt>
                <c:pt idx="222">
                  <c:v>27318.190000000006</c:v>
                </c:pt>
                <c:pt idx="223">
                  <c:v>30318.190000000006</c:v>
                </c:pt>
                <c:pt idx="224">
                  <c:v>33318.19</c:v>
                </c:pt>
                <c:pt idx="225">
                  <c:v>34518.19</c:v>
                </c:pt>
                <c:pt idx="226">
                  <c:v>29518.190000000002</c:v>
                </c:pt>
                <c:pt idx="227">
                  <c:v>25018.190000000002</c:v>
                </c:pt>
                <c:pt idx="228">
                  <c:v>28684.86</c:v>
                </c:pt>
                <c:pt idx="229">
                  <c:v>26184.86</c:v>
                </c:pt>
                <c:pt idx="230">
                  <c:v>30275.77</c:v>
                </c:pt>
                <c:pt idx="231">
                  <c:v>33457.590000000004</c:v>
                </c:pt>
                <c:pt idx="232">
                  <c:v>32457.590000000004</c:v>
                </c:pt>
                <c:pt idx="233">
                  <c:v>36062.590000000004</c:v>
                </c:pt>
                <c:pt idx="234">
                  <c:v>40153.5</c:v>
                </c:pt>
                <c:pt idx="235">
                  <c:v>36853.5</c:v>
                </c:pt>
                <c:pt idx="236">
                  <c:v>33353.5</c:v>
                </c:pt>
                <c:pt idx="237">
                  <c:v>36853.5</c:v>
                </c:pt>
                <c:pt idx="238">
                  <c:v>32853.5</c:v>
                </c:pt>
                <c:pt idx="239">
                  <c:v>28353.5</c:v>
                </c:pt>
                <c:pt idx="240">
                  <c:v>32353.5</c:v>
                </c:pt>
                <c:pt idx="241">
                  <c:v>33717.14</c:v>
                </c:pt>
                <c:pt idx="242">
                  <c:v>33717.14</c:v>
                </c:pt>
                <c:pt idx="243">
                  <c:v>31717.14</c:v>
                </c:pt>
                <c:pt idx="244">
                  <c:v>35808.050000000003</c:v>
                </c:pt>
                <c:pt idx="245">
                  <c:v>33608.050000000003</c:v>
                </c:pt>
                <c:pt idx="246">
                  <c:v>36789.870000000003</c:v>
                </c:pt>
                <c:pt idx="247">
                  <c:v>32289.870000000003</c:v>
                </c:pt>
                <c:pt idx="248">
                  <c:v>27889.870000000003</c:v>
                </c:pt>
                <c:pt idx="249">
                  <c:v>31071.690000000002</c:v>
                </c:pt>
                <c:pt idx="250">
                  <c:v>26571.690000000002</c:v>
                </c:pt>
                <c:pt idx="251">
                  <c:v>22571.690000000002</c:v>
                </c:pt>
                <c:pt idx="252">
                  <c:v>25753.510000000002</c:v>
                </c:pt>
                <c:pt idx="253">
                  <c:v>20253.510000000002</c:v>
                </c:pt>
                <c:pt idx="254">
                  <c:v>21253.510000000002</c:v>
                </c:pt>
                <c:pt idx="255">
                  <c:v>20253.510000000002</c:v>
                </c:pt>
                <c:pt idx="256">
                  <c:v>19253.510000000002</c:v>
                </c:pt>
                <c:pt idx="257">
                  <c:v>18253.510000000002</c:v>
                </c:pt>
                <c:pt idx="258">
                  <c:v>20526.240000000002</c:v>
                </c:pt>
                <c:pt idx="259">
                  <c:v>23526.240000000002</c:v>
                </c:pt>
                <c:pt idx="260">
                  <c:v>20226.240000000002</c:v>
                </c:pt>
                <c:pt idx="261">
                  <c:v>16226.240000000002</c:v>
                </c:pt>
                <c:pt idx="262">
                  <c:v>12226.240000000002</c:v>
                </c:pt>
                <c:pt idx="263">
                  <c:v>7826.2400000000016</c:v>
                </c:pt>
                <c:pt idx="264">
                  <c:v>6726.2400000000016</c:v>
                </c:pt>
                <c:pt idx="265">
                  <c:v>8998.9700000000012</c:v>
                </c:pt>
                <c:pt idx="266">
                  <c:v>7398.9700000000012</c:v>
                </c:pt>
                <c:pt idx="267">
                  <c:v>4098.9700000000012</c:v>
                </c:pt>
                <c:pt idx="268">
                  <c:v>1898.9700000000012</c:v>
                </c:pt>
                <c:pt idx="269">
                  <c:v>5898.9700000000012</c:v>
                </c:pt>
                <c:pt idx="270">
                  <c:v>9080.7900000000009</c:v>
                </c:pt>
                <c:pt idx="271">
                  <c:v>4580.7900000000009</c:v>
                </c:pt>
                <c:pt idx="272">
                  <c:v>4580.7900000000009</c:v>
                </c:pt>
                <c:pt idx="273">
                  <c:v>5830.7900000000009</c:v>
                </c:pt>
                <c:pt idx="274">
                  <c:v>1430.7900000000009</c:v>
                </c:pt>
                <c:pt idx="275">
                  <c:v>4430.7900000000009</c:v>
                </c:pt>
                <c:pt idx="276">
                  <c:v>6703.52</c:v>
                </c:pt>
                <c:pt idx="277">
                  <c:v>10703.52</c:v>
                </c:pt>
                <c:pt idx="278">
                  <c:v>11703.52</c:v>
                </c:pt>
                <c:pt idx="279">
                  <c:v>14430.79</c:v>
                </c:pt>
                <c:pt idx="280">
                  <c:v>17430.79</c:v>
                </c:pt>
                <c:pt idx="281">
                  <c:v>15430.79</c:v>
                </c:pt>
                <c:pt idx="282">
                  <c:v>17430.79</c:v>
                </c:pt>
                <c:pt idx="283">
                  <c:v>19430.79</c:v>
                </c:pt>
                <c:pt idx="284">
                  <c:v>23430.79</c:v>
                </c:pt>
                <c:pt idx="285">
                  <c:v>26612.61</c:v>
                </c:pt>
                <c:pt idx="286">
                  <c:v>27612.61</c:v>
                </c:pt>
                <c:pt idx="287">
                  <c:v>31612.61</c:v>
                </c:pt>
                <c:pt idx="288">
                  <c:v>27612.61</c:v>
                </c:pt>
                <c:pt idx="289">
                  <c:v>23212.61</c:v>
                </c:pt>
                <c:pt idx="290">
                  <c:v>27212.61</c:v>
                </c:pt>
                <c:pt idx="291">
                  <c:v>28212.61</c:v>
                </c:pt>
                <c:pt idx="292">
                  <c:v>31394.43</c:v>
                </c:pt>
                <c:pt idx="293">
                  <c:v>34394.43</c:v>
                </c:pt>
                <c:pt idx="294">
                  <c:v>32194.43</c:v>
                </c:pt>
                <c:pt idx="295">
                  <c:v>27694.43</c:v>
                </c:pt>
                <c:pt idx="296">
                  <c:v>31694.43</c:v>
                </c:pt>
                <c:pt idx="297">
                  <c:v>29694.43</c:v>
                </c:pt>
                <c:pt idx="298">
                  <c:v>32694.43</c:v>
                </c:pt>
                <c:pt idx="299">
                  <c:v>32694.43</c:v>
                </c:pt>
                <c:pt idx="300">
                  <c:v>36361.1</c:v>
                </c:pt>
                <c:pt idx="301">
                  <c:v>35261.1</c:v>
                </c:pt>
                <c:pt idx="302">
                  <c:v>38261.1</c:v>
                </c:pt>
                <c:pt idx="303">
                  <c:v>36061.1</c:v>
                </c:pt>
                <c:pt idx="304">
                  <c:v>40061.1</c:v>
                </c:pt>
                <c:pt idx="305">
                  <c:v>42977.77</c:v>
                </c:pt>
                <c:pt idx="306">
                  <c:v>43977.77</c:v>
                </c:pt>
                <c:pt idx="307">
                  <c:v>46061.1</c:v>
                </c:pt>
                <c:pt idx="308">
                  <c:v>41661.1</c:v>
                </c:pt>
                <c:pt idx="309">
                  <c:v>44661.1</c:v>
                </c:pt>
                <c:pt idx="310">
                  <c:v>41361.1</c:v>
                </c:pt>
                <c:pt idx="311">
                  <c:v>39161.1</c:v>
                </c:pt>
                <c:pt idx="312">
                  <c:v>42494.43</c:v>
                </c:pt>
                <c:pt idx="313">
                  <c:v>47494.43</c:v>
                </c:pt>
                <c:pt idx="314">
                  <c:v>44494.43</c:v>
                </c:pt>
                <c:pt idx="315">
                  <c:v>45694.43</c:v>
                </c:pt>
                <c:pt idx="316">
                  <c:v>49027.76</c:v>
                </c:pt>
                <c:pt idx="317">
                  <c:v>53027.76</c:v>
                </c:pt>
                <c:pt idx="318">
                  <c:v>53027.76</c:v>
                </c:pt>
                <c:pt idx="319">
                  <c:v>57027.76</c:v>
                </c:pt>
                <c:pt idx="320">
                  <c:v>53027.76</c:v>
                </c:pt>
                <c:pt idx="321">
                  <c:v>51927.76</c:v>
                </c:pt>
                <c:pt idx="322">
                  <c:v>49727.76</c:v>
                </c:pt>
                <c:pt idx="323">
                  <c:v>48227.76</c:v>
                </c:pt>
                <c:pt idx="324">
                  <c:v>53227.76</c:v>
                </c:pt>
                <c:pt idx="325">
                  <c:v>56864.12</c:v>
                </c:pt>
                <c:pt idx="326">
                  <c:v>53864.12</c:v>
                </c:pt>
                <c:pt idx="327">
                  <c:v>48864.12</c:v>
                </c:pt>
                <c:pt idx="328">
                  <c:v>45564.12</c:v>
                </c:pt>
                <c:pt idx="329">
                  <c:v>49564.12</c:v>
                </c:pt>
                <c:pt idx="330">
                  <c:v>52564.12</c:v>
                </c:pt>
                <c:pt idx="331">
                  <c:v>56200.480000000003</c:v>
                </c:pt>
                <c:pt idx="332">
                  <c:v>51800.480000000003</c:v>
                </c:pt>
                <c:pt idx="333">
                  <c:v>46800.480000000003</c:v>
                </c:pt>
                <c:pt idx="334">
                  <c:v>43500.480000000003</c:v>
                </c:pt>
                <c:pt idx="335">
                  <c:v>39500.480000000003</c:v>
                </c:pt>
                <c:pt idx="336">
                  <c:v>42500.480000000003</c:v>
                </c:pt>
                <c:pt idx="337">
                  <c:v>39200.480000000003</c:v>
                </c:pt>
                <c:pt idx="338">
                  <c:v>43200.480000000003</c:v>
                </c:pt>
                <c:pt idx="339">
                  <c:v>47745.93</c:v>
                </c:pt>
                <c:pt idx="340">
                  <c:v>48745.93</c:v>
                </c:pt>
                <c:pt idx="341">
                  <c:v>52382.29</c:v>
                </c:pt>
                <c:pt idx="342">
                  <c:v>55382.29</c:v>
                </c:pt>
                <c:pt idx="343">
                  <c:v>51382.29</c:v>
                </c:pt>
                <c:pt idx="344">
                  <c:v>56382.29</c:v>
                </c:pt>
                <c:pt idx="345">
                  <c:v>52882.29</c:v>
                </c:pt>
                <c:pt idx="346">
                  <c:v>48482.29</c:v>
                </c:pt>
                <c:pt idx="347">
                  <c:v>47482.29</c:v>
                </c:pt>
                <c:pt idx="348">
                  <c:v>50482.29</c:v>
                </c:pt>
                <c:pt idx="349">
                  <c:v>46982.29</c:v>
                </c:pt>
                <c:pt idx="350">
                  <c:v>50982.29</c:v>
                </c:pt>
                <c:pt idx="351">
                  <c:v>53982.29</c:v>
                </c:pt>
                <c:pt idx="352">
                  <c:v>55982.29</c:v>
                </c:pt>
                <c:pt idx="353">
                  <c:v>53482.29</c:v>
                </c:pt>
                <c:pt idx="354">
                  <c:v>58027.74</c:v>
                </c:pt>
                <c:pt idx="355">
                  <c:v>62027.74</c:v>
                </c:pt>
                <c:pt idx="356">
                  <c:v>65027.74</c:v>
                </c:pt>
                <c:pt idx="357">
                  <c:v>59527.74</c:v>
                </c:pt>
                <c:pt idx="358">
                  <c:v>63164.1</c:v>
                </c:pt>
                <c:pt idx="359">
                  <c:v>66164.100000000006</c:v>
                </c:pt>
                <c:pt idx="360">
                  <c:v>61764.100000000006</c:v>
                </c:pt>
                <c:pt idx="361">
                  <c:v>64764.100000000006</c:v>
                </c:pt>
                <c:pt idx="362">
                  <c:v>60364.100000000006</c:v>
                </c:pt>
                <c:pt idx="363">
                  <c:v>54864.100000000006</c:v>
                </c:pt>
                <c:pt idx="364">
                  <c:v>53864.100000000006</c:v>
                </c:pt>
                <c:pt idx="365">
                  <c:v>51664.100000000006</c:v>
                </c:pt>
                <c:pt idx="366">
                  <c:v>49464.100000000006</c:v>
                </c:pt>
                <c:pt idx="367">
                  <c:v>45464.100000000006</c:v>
                </c:pt>
                <c:pt idx="368">
                  <c:v>48380.770000000004</c:v>
                </c:pt>
                <c:pt idx="369">
                  <c:v>51380.770000000004</c:v>
                </c:pt>
                <c:pt idx="370">
                  <c:v>55380.770000000004</c:v>
                </c:pt>
                <c:pt idx="371">
                  <c:v>59380.770000000004</c:v>
                </c:pt>
                <c:pt idx="372">
                  <c:v>56080.770000000004</c:v>
                </c:pt>
                <c:pt idx="373">
                  <c:v>51680.770000000004</c:v>
                </c:pt>
                <c:pt idx="374">
                  <c:v>47280.770000000004</c:v>
                </c:pt>
                <c:pt idx="375">
                  <c:v>52280.770000000004</c:v>
                </c:pt>
                <c:pt idx="376">
                  <c:v>48280.770000000004</c:v>
                </c:pt>
                <c:pt idx="377">
                  <c:v>43480.770000000004</c:v>
                </c:pt>
                <c:pt idx="378">
                  <c:v>47480.770000000004</c:v>
                </c:pt>
                <c:pt idx="379">
                  <c:v>51480.770000000004</c:v>
                </c:pt>
                <c:pt idx="380">
                  <c:v>55117.130000000005</c:v>
                </c:pt>
                <c:pt idx="381">
                  <c:v>60117.130000000005</c:v>
                </c:pt>
                <c:pt idx="382">
                  <c:v>58617.130000000005</c:v>
                </c:pt>
                <c:pt idx="383">
                  <c:v>62253.490000000005</c:v>
                </c:pt>
                <c:pt idx="384">
                  <c:v>65889.850000000006</c:v>
                </c:pt>
                <c:pt idx="385">
                  <c:v>62389.850000000006</c:v>
                </c:pt>
                <c:pt idx="386">
                  <c:v>64208.030000000006</c:v>
                </c:pt>
                <c:pt idx="387">
                  <c:v>68408.03</c:v>
                </c:pt>
                <c:pt idx="388">
                  <c:v>63908.03</c:v>
                </c:pt>
                <c:pt idx="389">
                  <c:v>67908.03</c:v>
                </c:pt>
                <c:pt idx="390">
                  <c:v>62908.03</c:v>
                </c:pt>
                <c:pt idx="391">
                  <c:v>66908.03</c:v>
                </c:pt>
                <c:pt idx="392">
                  <c:v>70544.39</c:v>
                </c:pt>
                <c:pt idx="393">
                  <c:v>67244.39</c:v>
                </c:pt>
                <c:pt idx="394">
                  <c:v>70577.72</c:v>
                </c:pt>
                <c:pt idx="395">
                  <c:v>73759.540000000008</c:v>
                </c:pt>
                <c:pt idx="396">
                  <c:v>69259.540000000008</c:v>
                </c:pt>
                <c:pt idx="397">
                  <c:v>67059.540000000008</c:v>
                </c:pt>
                <c:pt idx="398">
                  <c:v>62659.540000000008</c:v>
                </c:pt>
                <c:pt idx="399">
                  <c:v>66295.900000000009</c:v>
                </c:pt>
                <c:pt idx="400">
                  <c:v>65295.900000000009</c:v>
                </c:pt>
                <c:pt idx="401">
                  <c:v>69295.900000000009</c:v>
                </c:pt>
                <c:pt idx="402">
                  <c:v>65795.900000000009</c:v>
                </c:pt>
                <c:pt idx="403">
                  <c:v>61395.900000000009</c:v>
                </c:pt>
                <c:pt idx="404">
                  <c:v>59395.900000000009</c:v>
                </c:pt>
                <c:pt idx="405">
                  <c:v>61395.900000000009</c:v>
                </c:pt>
                <c:pt idx="406">
                  <c:v>58095.900000000009</c:v>
                </c:pt>
                <c:pt idx="407">
                  <c:v>54095.900000000009</c:v>
                </c:pt>
                <c:pt idx="408">
                  <c:v>57732.260000000009</c:v>
                </c:pt>
                <c:pt idx="409">
                  <c:v>61368.62000000001</c:v>
                </c:pt>
                <c:pt idx="410">
                  <c:v>63368.62000000001</c:v>
                </c:pt>
                <c:pt idx="411">
                  <c:v>57868.62000000001</c:v>
                </c:pt>
                <c:pt idx="412">
                  <c:v>56868.62000000001</c:v>
                </c:pt>
                <c:pt idx="413">
                  <c:v>51868.62000000001</c:v>
                </c:pt>
                <c:pt idx="414">
                  <c:v>47468.62000000001</c:v>
                </c:pt>
                <c:pt idx="415">
                  <c:v>52468.62000000001</c:v>
                </c:pt>
                <c:pt idx="416">
                  <c:v>56468.62000000001</c:v>
                </c:pt>
                <c:pt idx="417">
                  <c:v>53968.62000000001</c:v>
                </c:pt>
                <c:pt idx="418">
                  <c:v>50968.62000000001</c:v>
                </c:pt>
                <c:pt idx="419">
                  <c:v>50968.62000000001</c:v>
                </c:pt>
                <c:pt idx="420">
                  <c:v>46568.62000000001</c:v>
                </c:pt>
                <c:pt idx="421">
                  <c:v>46568.62000000001</c:v>
                </c:pt>
                <c:pt idx="422">
                  <c:v>43268.62000000001</c:v>
                </c:pt>
                <c:pt idx="423">
                  <c:v>38868.62000000001</c:v>
                </c:pt>
                <c:pt idx="424">
                  <c:v>42868.62000000001</c:v>
                </c:pt>
                <c:pt idx="425">
                  <c:v>38868.62000000001</c:v>
                </c:pt>
                <c:pt idx="426">
                  <c:v>41868.62000000001</c:v>
                </c:pt>
                <c:pt idx="427">
                  <c:v>44868.62000000001</c:v>
                </c:pt>
                <c:pt idx="428">
                  <c:v>39868.62000000001</c:v>
                </c:pt>
                <c:pt idx="429">
                  <c:v>44868.62000000001</c:v>
                </c:pt>
                <c:pt idx="430">
                  <c:v>43868.62000000001</c:v>
                </c:pt>
                <c:pt idx="431">
                  <c:v>39468.62000000001</c:v>
                </c:pt>
                <c:pt idx="432">
                  <c:v>41468.62000000001</c:v>
                </c:pt>
                <c:pt idx="433">
                  <c:v>44468.62000000001</c:v>
                </c:pt>
                <c:pt idx="434">
                  <c:v>41168.62000000001</c:v>
                </c:pt>
                <c:pt idx="435">
                  <c:v>45168.62000000001</c:v>
                </c:pt>
                <c:pt idx="436">
                  <c:v>49335.290000000008</c:v>
                </c:pt>
                <c:pt idx="437">
                  <c:v>52335.290000000008</c:v>
                </c:pt>
                <c:pt idx="438">
                  <c:v>47935.290000000008</c:v>
                </c:pt>
                <c:pt idx="439">
                  <c:v>51571.650000000009</c:v>
                </c:pt>
                <c:pt idx="440">
                  <c:v>47721.650000000009</c:v>
                </c:pt>
                <c:pt idx="441">
                  <c:v>43721.650000000009</c:v>
                </c:pt>
                <c:pt idx="442">
                  <c:v>39721.650000000009</c:v>
                </c:pt>
                <c:pt idx="443">
                  <c:v>37521.650000000009</c:v>
                </c:pt>
                <c:pt idx="444">
                  <c:v>33121.650000000009</c:v>
                </c:pt>
                <c:pt idx="445">
                  <c:v>28721.650000000009</c:v>
                </c:pt>
                <c:pt idx="446">
                  <c:v>31721.650000000009</c:v>
                </c:pt>
                <c:pt idx="447">
                  <c:v>36721.650000000009</c:v>
                </c:pt>
                <c:pt idx="448">
                  <c:v>41721.650000000009</c:v>
                </c:pt>
                <c:pt idx="449">
                  <c:v>37221.650000000009</c:v>
                </c:pt>
                <c:pt idx="450">
                  <c:v>40221.650000000009</c:v>
                </c:pt>
                <c:pt idx="451">
                  <c:v>43403.470000000008</c:v>
                </c:pt>
                <c:pt idx="452">
                  <c:v>46403.470000000008</c:v>
                </c:pt>
                <c:pt idx="453">
                  <c:v>42003.470000000008</c:v>
                </c:pt>
                <c:pt idx="454">
                  <c:v>42003.470000000008</c:v>
                </c:pt>
                <c:pt idx="455">
                  <c:v>36503.470000000008</c:v>
                </c:pt>
                <c:pt idx="456">
                  <c:v>35503.470000000008</c:v>
                </c:pt>
                <c:pt idx="457">
                  <c:v>36503.470000000008</c:v>
                </c:pt>
                <c:pt idx="458">
                  <c:v>38503.470000000008</c:v>
                </c:pt>
                <c:pt idx="459">
                  <c:v>43503.470000000008</c:v>
                </c:pt>
                <c:pt idx="460">
                  <c:v>46503.470000000008</c:v>
                </c:pt>
                <c:pt idx="461">
                  <c:v>42103.470000000008</c:v>
                </c:pt>
                <c:pt idx="462">
                  <c:v>36603.470000000008</c:v>
                </c:pt>
                <c:pt idx="463">
                  <c:v>32203.470000000008</c:v>
                </c:pt>
                <c:pt idx="464">
                  <c:v>28903.470000000008</c:v>
                </c:pt>
                <c:pt idx="465">
                  <c:v>24403.470000000008</c:v>
                </c:pt>
                <c:pt idx="466">
                  <c:v>27403.470000000008</c:v>
                </c:pt>
                <c:pt idx="467">
                  <c:v>32403.470000000008</c:v>
                </c:pt>
                <c:pt idx="468">
                  <c:v>35403.470000000008</c:v>
                </c:pt>
                <c:pt idx="469">
                  <c:v>31903.470000000008</c:v>
                </c:pt>
                <c:pt idx="470">
                  <c:v>28603.470000000008</c:v>
                </c:pt>
                <c:pt idx="471">
                  <c:v>32603.470000000008</c:v>
                </c:pt>
                <c:pt idx="472">
                  <c:v>35103.470000000008</c:v>
                </c:pt>
                <c:pt idx="473">
                  <c:v>38436.80000000001</c:v>
                </c:pt>
                <c:pt idx="474">
                  <c:v>34436.80000000001</c:v>
                </c:pt>
                <c:pt idx="475">
                  <c:v>33436.80000000001</c:v>
                </c:pt>
                <c:pt idx="476">
                  <c:v>38436.80000000001</c:v>
                </c:pt>
                <c:pt idx="477">
                  <c:v>35136.80000000001</c:v>
                </c:pt>
                <c:pt idx="478">
                  <c:v>34036.80000000001</c:v>
                </c:pt>
                <c:pt idx="479">
                  <c:v>29036.80000000001</c:v>
                </c:pt>
                <c:pt idx="480">
                  <c:v>24036.80000000001</c:v>
                </c:pt>
                <c:pt idx="481">
                  <c:v>27036.80000000001</c:v>
                </c:pt>
                <c:pt idx="482">
                  <c:v>22636.80000000001</c:v>
                </c:pt>
                <c:pt idx="483">
                  <c:v>18236.80000000001</c:v>
                </c:pt>
                <c:pt idx="484">
                  <c:v>19236.80000000001</c:v>
                </c:pt>
                <c:pt idx="485">
                  <c:v>19236.80000000001</c:v>
                </c:pt>
                <c:pt idx="486">
                  <c:v>18136.80000000001</c:v>
                </c:pt>
                <c:pt idx="487">
                  <c:v>23136.80000000001</c:v>
                </c:pt>
                <c:pt idx="488">
                  <c:v>18136.80000000001</c:v>
                </c:pt>
                <c:pt idx="489">
                  <c:v>17136.80000000001</c:v>
                </c:pt>
                <c:pt idx="490">
                  <c:v>13836.80000000001</c:v>
                </c:pt>
                <c:pt idx="491">
                  <c:v>17836.80000000001</c:v>
                </c:pt>
                <c:pt idx="492">
                  <c:v>21473.160000000011</c:v>
                </c:pt>
                <c:pt idx="493">
                  <c:v>23473.160000000011</c:v>
                </c:pt>
                <c:pt idx="494">
                  <c:v>19473.160000000011</c:v>
                </c:pt>
                <c:pt idx="495">
                  <c:v>15073.160000000011</c:v>
                </c:pt>
                <c:pt idx="496">
                  <c:v>20073.160000000011</c:v>
                </c:pt>
                <c:pt idx="497">
                  <c:v>22800.430000000011</c:v>
                </c:pt>
                <c:pt idx="498">
                  <c:v>25800.430000000011</c:v>
                </c:pt>
                <c:pt idx="499">
                  <c:v>20800.430000000011</c:v>
                </c:pt>
                <c:pt idx="500">
                  <c:v>18600.430000000011</c:v>
                </c:pt>
                <c:pt idx="501">
                  <c:v>21600.430000000011</c:v>
                </c:pt>
                <c:pt idx="502">
                  <c:v>17200.430000000011</c:v>
                </c:pt>
                <c:pt idx="503">
                  <c:v>12700.430000000011</c:v>
                </c:pt>
                <c:pt idx="504">
                  <c:v>15700.430000000011</c:v>
                </c:pt>
                <c:pt idx="505">
                  <c:v>19700.430000000011</c:v>
                </c:pt>
                <c:pt idx="506">
                  <c:v>22800.430000000011</c:v>
                </c:pt>
                <c:pt idx="507">
                  <c:v>26800.430000000011</c:v>
                </c:pt>
                <c:pt idx="508">
                  <c:v>30800.430000000011</c:v>
                </c:pt>
                <c:pt idx="509">
                  <c:v>33800.430000000008</c:v>
                </c:pt>
                <c:pt idx="510">
                  <c:v>28300.430000000008</c:v>
                </c:pt>
                <c:pt idx="511">
                  <c:v>26300.430000000008</c:v>
                </c:pt>
                <c:pt idx="512">
                  <c:v>30300.430000000008</c:v>
                </c:pt>
                <c:pt idx="513">
                  <c:v>27000.430000000008</c:v>
                </c:pt>
                <c:pt idx="514">
                  <c:v>30750.430000000008</c:v>
                </c:pt>
                <c:pt idx="515">
                  <c:v>33750.430000000008</c:v>
                </c:pt>
                <c:pt idx="516">
                  <c:v>29350.430000000008</c:v>
                </c:pt>
                <c:pt idx="517">
                  <c:v>25750.430000000008</c:v>
                </c:pt>
                <c:pt idx="518">
                  <c:v>30295.880000000008</c:v>
                </c:pt>
                <c:pt idx="519">
                  <c:v>28095.880000000008</c:v>
                </c:pt>
                <c:pt idx="520">
                  <c:v>25595.880000000008</c:v>
                </c:pt>
                <c:pt idx="521">
                  <c:v>28595.880000000008</c:v>
                </c:pt>
                <c:pt idx="522">
                  <c:v>24195.880000000008</c:v>
                </c:pt>
                <c:pt idx="523">
                  <c:v>20895.880000000008</c:v>
                </c:pt>
                <c:pt idx="524">
                  <c:v>17595.880000000008</c:v>
                </c:pt>
                <c:pt idx="525">
                  <c:v>13195.880000000008</c:v>
                </c:pt>
                <c:pt idx="526">
                  <c:v>17195.880000000008</c:v>
                </c:pt>
                <c:pt idx="527">
                  <c:v>21195.880000000008</c:v>
                </c:pt>
                <c:pt idx="528">
                  <c:v>24195.880000000008</c:v>
                </c:pt>
                <c:pt idx="529">
                  <c:v>27832.240000000009</c:v>
                </c:pt>
                <c:pt idx="530">
                  <c:v>32832.240000000005</c:v>
                </c:pt>
                <c:pt idx="531">
                  <c:v>28432.240000000005</c:v>
                </c:pt>
                <c:pt idx="532">
                  <c:v>31432.240000000005</c:v>
                </c:pt>
                <c:pt idx="533">
                  <c:v>27832.240000000005</c:v>
                </c:pt>
                <c:pt idx="534">
                  <c:v>22332.240000000005</c:v>
                </c:pt>
                <c:pt idx="535">
                  <c:v>27332.240000000005</c:v>
                </c:pt>
                <c:pt idx="536">
                  <c:v>21832.240000000005</c:v>
                </c:pt>
                <c:pt idx="537">
                  <c:v>19832.240000000005</c:v>
                </c:pt>
                <c:pt idx="538">
                  <c:v>14832.240000000005</c:v>
                </c:pt>
                <c:pt idx="539">
                  <c:v>18832.240000000005</c:v>
                </c:pt>
                <c:pt idx="540">
                  <c:v>14432.240000000005</c:v>
                </c:pt>
                <c:pt idx="541">
                  <c:v>18432.240000000005</c:v>
                </c:pt>
                <c:pt idx="542">
                  <c:v>21614.060000000005</c:v>
                </c:pt>
                <c:pt idx="543">
                  <c:v>22614.060000000005</c:v>
                </c:pt>
                <c:pt idx="544">
                  <c:v>27197.390000000007</c:v>
                </c:pt>
                <c:pt idx="545">
                  <c:v>30833.750000000007</c:v>
                </c:pt>
                <c:pt idx="546">
                  <c:v>35833.750000000007</c:v>
                </c:pt>
                <c:pt idx="547">
                  <c:v>38833.750000000007</c:v>
                </c:pt>
                <c:pt idx="548">
                  <c:v>35533.750000000007</c:v>
                </c:pt>
                <c:pt idx="549">
                  <c:v>40117.080000000009</c:v>
                </c:pt>
                <c:pt idx="550">
                  <c:v>37917.080000000009</c:v>
                </c:pt>
                <c:pt idx="551">
                  <c:v>33517.080000000009</c:v>
                </c:pt>
                <c:pt idx="552">
                  <c:v>38100.410000000011</c:v>
                </c:pt>
                <c:pt idx="553">
                  <c:v>34800.410000000011</c:v>
                </c:pt>
                <c:pt idx="554">
                  <c:v>29580.410000000011</c:v>
                </c:pt>
                <c:pt idx="555">
                  <c:v>34580.410000000011</c:v>
                </c:pt>
                <c:pt idx="556">
                  <c:v>31280.410000000011</c:v>
                </c:pt>
                <c:pt idx="557">
                  <c:v>26880.410000000011</c:v>
                </c:pt>
                <c:pt idx="558">
                  <c:v>30880.410000000011</c:v>
                </c:pt>
                <c:pt idx="559">
                  <c:v>33880.410000000011</c:v>
                </c:pt>
                <c:pt idx="560">
                  <c:v>28380.410000000011</c:v>
                </c:pt>
                <c:pt idx="561">
                  <c:v>24380.410000000011</c:v>
                </c:pt>
                <c:pt idx="562">
                  <c:v>25380.410000000011</c:v>
                </c:pt>
                <c:pt idx="563">
                  <c:v>28380.410000000011</c:v>
                </c:pt>
                <c:pt idx="564">
                  <c:v>31297.080000000009</c:v>
                </c:pt>
                <c:pt idx="565">
                  <c:v>27297.080000000009</c:v>
                </c:pt>
                <c:pt idx="566">
                  <c:v>22897.080000000009</c:v>
                </c:pt>
                <c:pt idx="567">
                  <c:v>26897.080000000009</c:v>
                </c:pt>
                <c:pt idx="568">
                  <c:v>23897.080000000009</c:v>
                </c:pt>
                <c:pt idx="569">
                  <c:v>19497.080000000009</c:v>
                </c:pt>
                <c:pt idx="570">
                  <c:v>22497.080000000009</c:v>
                </c:pt>
                <c:pt idx="571">
                  <c:v>26306.600000000009</c:v>
                </c:pt>
                <c:pt idx="572">
                  <c:v>29223.270000000011</c:v>
                </c:pt>
                <c:pt idx="573">
                  <c:v>31723.270000000011</c:v>
                </c:pt>
                <c:pt idx="574">
                  <c:v>36268.720000000008</c:v>
                </c:pt>
                <c:pt idx="575">
                  <c:v>33768.720000000008</c:v>
                </c:pt>
                <c:pt idx="576">
                  <c:v>35132.360000000008</c:v>
                </c:pt>
                <c:pt idx="577">
                  <c:v>38282.360000000008</c:v>
                </c:pt>
                <c:pt idx="578">
                  <c:v>34982.360000000008</c:v>
                </c:pt>
                <c:pt idx="579">
                  <c:v>37709.630000000005</c:v>
                </c:pt>
                <c:pt idx="580">
                  <c:v>33709.630000000005</c:v>
                </c:pt>
                <c:pt idx="581">
                  <c:v>28209.630000000005</c:v>
                </c:pt>
                <c:pt idx="582">
                  <c:v>24909.630000000005</c:v>
                </c:pt>
                <c:pt idx="583">
                  <c:v>26909.630000000005</c:v>
                </c:pt>
                <c:pt idx="584">
                  <c:v>22409.630000000005</c:v>
                </c:pt>
                <c:pt idx="585">
                  <c:v>26409.630000000005</c:v>
                </c:pt>
                <c:pt idx="586">
                  <c:v>28809.630000000005</c:v>
                </c:pt>
                <c:pt idx="587">
                  <c:v>32809.630000000005</c:v>
                </c:pt>
                <c:pt idx="588">
                  <c:v>37159.630000000005</c:v>
                </c:pt>
                <c:pt idx="589">
                  <c:v>40492.960000000006</c:v>
                </c:pt>
                <c:pt idx="590">
                  <c:v>44242.960000000006</c:v>
                </c:pt>
                <c:pt idx="591">
                  <c:v>38742.960000000006</c:v>
                </c:pt>
                <c:pt idx="592">
                  <c:v>41351.660000000003</c:v>
                </c:pt>
                <c:pt idx="593">
                  <c:v>44351.66</c:v>
                </c:pt>
                <c:pt idx="594">
                  <c:v>46434.990000000005</c:v>
                </c:pt>
                <c:pt idx="595">
                  <c:v>49768.320000000007</c:v>
                </c:pt>
                <c:pt idx="596">
                  <c:v>45268.320000000007</c:v>
                </c:pt>
                <c:pt idx="597">
                  <c:v>46268.320000000007</c:v>
                </c:pt>
                <c:pt idx="598">
                  <c:v>49601.650000000009</c:v>
                </c:pt>
                <c:pt idx="599">
                  <c:v>54601.650000000009</c:v>
                </c:pt>
                <c:pt idx="600">
                  <c:v>57351.650000000009</c:v>
                </c:pt>
                <c:pt idx="601">
                  <c:v>61351.650000000009</c:v>
                </c:pt>
                <c:pt idx="602">
                  <c:v>65264.69000000001</c:v>
                </c:pt>
                <c:pt idx="603">
                  <c:v>69264.69</c:v>
                </c:pt>
                <c:pt idx="604">
                  <c:v>66764.69</c:v>
                </c:pt>
                <c:pt idx="605">
                  <c:v>70401.05</c:v>
                </c:pt>
                <c:pt idx="606">
                  <c:v>72401.05</c:v>
                </c:pt>
                <c:pt idx="607">
                  <c:v>75401.05</c:v>
                </c:pt>
                <c:pt idx="608">
                  <c:v>76851.05</c:v>
                </c:pt>
                <c:pt idx="609">
                  <c:v>73551.05</c:v>
                </c:pt>
                <c:pt idx="610">
                  <c:v>77551.05</c:v>
                </c:pt>
                <c:pt idx="611">
                  <c:v>80951.05</c:v>
                </c:pt>
                <c:pt idx="612">
                  <c:v>85951.05</c:v>
                </c:pt>
                <c:pt idx="613">
                  <c:v>82651.05</c:v>
                </c:pt>
                <c:pt idx="614">
                  <c:v>87051.05</c:v>
                </c:pt>
                <c:pt idx="615">
                  <c:v>83751.05</c:v>
                </c:pt>
                <c:pt idx="616">
                  <c:v>85751.05</c:v>
                </c:pt>
                <c:pt idx="617">
                  <c:v>81351.05</c:v>
                </c:pt>
                <c:pt idx="618">
                  <c:v>76851.05</c:v>
                </c:pt>
                <c:pt idx="619">
                  <c:v>74651.05</c:v>
                </c:pt>
                <c:pt idx="620">
                  <c:v>78564.09</c:v>
                </c:pt>
                <c:pt idx="621">
                  <c:v>80064.09</c:v>
                </c:pt>
                <c:pt idx="622">
                  <c:v>76064.09</c:v>
                </c:pt>
                <c:pt idx="623">
                  <c:v>70564.09</c:v>
                </c:pt>
                <c:pt idx="624">
                  <c:v>69564.09</c:v>
                </c:pt>
                <c:pt idx="625">
                  <c:v>73655</c:v>
                </c:pt>
                <c:pt idx="626">
                  <c:v>72555</c:v>
                </c:pt>
                <c:pt idx="627">
                  <c:v>75282.27</c:v>
                </c:pt>
                <c:pt idx="628">
                  <c:v>78918.63</c:v>
                </c:pt>
                <c:pt idx="629">
                  <c:v>74918.63</c:v>
                </c:pt>
                <c:pt idx="630">
                  <c:v>70418.63</c:v>
                </c:pt>
                <c:pt idx="631">
                  <c:v>75001.960000000006</c:v>
                </c:pt>
                <c:pt idx="632">
                  <c:v>77085.290000000008</c:v>
                </c:pt>
                <c:pt idx="633">
                  <c:v>80721.650000000009</c:v>
                </c:pt>
                <c:pt idx="634">
                  <c:v>84721.650000000009</c:v>
                </c:pt>
                <c:pt idx="635">
                  <c:v>80721.650000000009</c:v>
                </c:pt>
                <c:pt idx="636">
                  <c:v>84471.650000000009</c:v>
                </c:pt>
                <c:pt idx="637">
                  <c:v>86871.650000000009</c:v>
                </c:pt>
                <c:pt idx="638">
                  <c:v>88871.650000000009</c:v>
                </c:pt>
                <c:pt idx="639">
                  <c:v>85571.650000000009</c:v>
                </c:pt>
                <c:pt idx="640">
                  <c:v>90117.1</c:v>
                </c:pt>
                <c:pt idx="641">
                  <c:v>91367.1</c:v>
                </c:pt>
                <c:pt idx="642">
                  <c:v>96367.1</c:v>
                </c:pt>
                <c:pt idx="643">
                  <c:v>94867.1</c:v>
                </c:pt>
                <c:pt idx="644">
                  <c:v>90367.1</c:v>
                </c:pt>
                <c:pt idx="645">
                  <c:v>95367.1</c:v>
                </c:pt>
                <c:pt idx="646">
                  <c:v>97367.1</c:v>
                </c:pt>
                <c:pt idx="647">
                  <c:v>92967.1</c:v>
                </c:pt>
                <c:pt idx="648">
                  <c:v>91967.1</c:v>
                </c:pt>
                <c:pt idx="649">
                  <c:v>88467.1</c:v>
                </c:pt>
                <c:pt idx="650">
                  <c:v>84467.1</c:v>
                </c:pt>
                <c:pt idx="651">
                  <c:v>88467.1</c:v>
                </c:pt>
                <c:pt idx="652">
                  <c:v>92380.14</c:v>
                </c:pt>
                <c:pt idx="653">
                  <c:v>94880.14</c:v>
                </c:pt>
                <c:pt idx="654">
                  <c:v>90480.14</c:v>
                </c:pt>
                <c:pt idx="655">
                  <c:v>95480.14</c:v>
                </c:pt>
                <c:pt idx="656">
                  <c:v>91980.14</c:v>
                </c:pt>
                <c:pt idx="657">
                  <c:v>90880.14</c:v>
                </c:pt>
                <c:pt idx="658">
                  <c:v>86880.14</c:v>
                </c:pt>
                <c:pt idx="659">
                  <c:v>81880.14</c:v>
                </c:pt>
                <c:pt idx="660">
                  <c:v>77480.14</c:v>
                </c:pt>
                <c:pt idx="661">
                  <c:v>76480.14</c:v>
                </c:pt>
                <c:pt idx="662">
                  <c:v>72080.14</c:v>
                </c:pt>
                <c:pt idx="663">
                  <c:v>72080.14</c:v>
                </c:pt>
                <c:pt idx="664">
                  <c:v>75080.14</c:v>
                </c:pt>
                <c:pt idx="665">
                  <c:v>71080.14</c:v>
                </c:pt>
                <c:pt idx="666">
                  <c:v>75663.47</c:v>
                </c:pt>
                <c:pt idx="667">
                  <c:v>79737.540000000008</c:v>
                </c:pt>
                <c:pt idx="668">
                  <c:v>83737.540000000008</c:v>
                </c:pt>
                <c:pt idx="669">
                  <c:v>83737.540000000008</c:v>
                </c:pt>
                <c:pt idx="670">
                  <c:v>85737.540000000008</c:v>
                </c:pt>
                <c:pt idx="671">
                  <c:v>80237.540000000008</c:v>
                </c:pt>
                <c:pt idx="672">
                  <c:v>76737.540000000008</c:v>
                </c:pt>
                <c:pt idx="673">
                  <c:v>75637.540000000008</c:v>
                </c:pt>
                <c:pt idx="674">
                  <c:v>78970.87000000001</c:v>
                </c:pt>
                <c:pt idx="675">
                  <c:v>83070.87000000001</c:v>
                </c:pt>
                <c:pt idx="676">
                  <c:v>86070.87000000001</c:v>
                </c:pt>
                <c:pt idx="677">
                  <c:v>89707.23000000001</c:v>
                </c:pt>
                <c:pt idx="678">
                  <c:v>93507.23000000001</c:v>
                </c:pt>
                <c:pt idx="679">
                  <c:v>96507.23000000001</c:v>
                </c:pt>
                <c:pt idx="680">
                  <c:v>100507.23000000001</c:v>
                </c:pt>
                <c:pt idx="681">
                  <c:v>97207.23000000001</c:v>
                </c:pt>
                <c:pt idx="682">
                  <c:v>102207.23000000001</c:v>
                </c:pt>
                <c:pt idx="683">
                  <c:v>105843.59000000001</c:v>
                </c:pt>
                <c:pt idx="684">
                  <c:v>104743.59000000001</c:v>
                </c:pt>
                <c:pt idx="685">
                  <c:v>100343.59000000001</c:v>
                </c:pt>
                <c:pt idx="686">
                  <c:v>104093.59000000001</c:v>
                </c:pt>
                <c:pt idx="687">
                  <c:v>99693.590000000011</c:v>
                </c:pt>
                <c:pt idx="688">
                  <c:v>95693.590000000011</c:v>
                </c:pt>
                <c:pt idx="689">
                  <c:v>99443.590000000011</c:v>
                </c:pt>
                <c:pt idx="690">
                  <c:v>95043.590000000011</c:v>
                </c:pt>
                <c:pt idx="691">
                  <c:v>95043.590000000011</c:v>
                </c:pt>
                <c:pt idx="692">
                  <c:v>97043.590000000011</c:v>
                </c:pt>
                <c:pt idx="693">
                  <c:v>100679.95000000001</c:v>
                </c:pt>
                <c:pt idx="694">
                  <c:v>97379.950000000012</c:v>
                </c:pt>
                <c:pt idx="695">
                  <c:v>96379.950000000012</c:v>
                </c:pt>
                <c:pt idx="696">
                  <c:v>90879.950000000012</c:v>
                </c:pt>
                <c:pt idx="697">
                  <c:v>93879.950000000012</c:v>
                </c:pt>
                <c:pt idx="698">
                  <c:v>95429.950000000012</c:v>
                </c:pt>
                <c:pt idx="699">
                  <c:v>91029.950000000012</c:v>
                </c:pt>
                <c:pt idx="700">
                  <c:v>85529.950000000012</c:v>
                </c:pt>
                <c:pt idx="701">
                  <c:v>81229.950000000012</c:v>
                </c:pt>
                <c:pt idx="702">
                  <c:v>80229.950000000012</c:v>
                </c:pt>
                <c:pt idx="703">
                  <c:v>84229.950000000012</c:v>
                </c:pt>
                <c:pt idx="704">
                  <c:v>88229.950000000012</c:v>
                </c:pt>
                <c:pt idx="705">
                  <c:v>92229.950000000012</c:v>
                </c:pt>
                <c:pt idx="706">
                  <c:v>87229.950000000012</c:v>
                </c:pt>
                <c:pt idx="707">
                  <c:v>91229.950000000012</c:v>
                </c:pt>
                <c:pt idx="708">
                  <c:v>87929.950000000012</c:v>
                </c:pt>
                <c:pt idx="709">
                  <c:v>94929.950000000012</c:v>
                </c:pt>
                <c:pt idx="710">
                  <c:v>98929.950000000012</c:v>
                </c:pt>
                <c:pt idx="711">
                  <c:v>102111.77000000002</c:v>
                </c:pt>
                <c:pt idx="712">
                  <c:v>104839.04000000002</c:v>
                </c:pt>
                <c:pt idx="713">
                  <c:v>99339.040000000023</c:v>
                </c:pt>
                <c:pt idx="714">
                  <c:v>102672.37000000002</c:v>
                </c:pt>
                <c:pt idx="715">
                  <c:v>106672.37000000002</c:v>
                </c:pt>
                <c:pt idx="716">
                  <c:v>108572.37000000002</c:v>
                </c:pt>
                <c:pt idx="717">
                  <c:v>105272.37000000002</c:v>
                </c:pt>
                <c:pt idx="718">
                  <c:v>101272.37000000002</c:v>
                </c:pt>
                <c:pt idx="719">
                  <c:v>95772.370000000024</c:v>
                </c:pt>
                <c:pt idx="720">
                  <c:v>99772.370000000024</c:v>
                </c:pt>
                <c:pt idx="721">
                  <c:v>95372.370000000024</c:v>
                </c:pt>
                <c:pt idx="722">
                  <c:v>99372.370000000024</c:v>
                </c:pt>
                <c:pt idx="723">
                  <c:v>98372.370000000024</c:v>
                </c:pt>
                <c:pt idx="724">
                  <c:v>92872.370000000024</c:v>
                </c:pt>
                <c:pt idx="725">
                  <c:v>96872.370000000024</c:v>
                </c:pt>
                <c:pt idx="726">
                  <c:v>92472.370000000024</c:v>
                </c:pt>
                <c:pt idx="727">
                  <c:v>97017.820000000022</c:v>
                </c:pt>
                <c:pt idx="728">
                  <c:v>104317.82000000002</c:v>
                </c:pt>
                <c:pt idx="729">
                  <c:v>109317.82000000002</c:v>
                </c:pt>
                <c:pt idx="730">
                  <c:v>113317.82000000002</c:v>
                </c:pt>
                <c:pt idx="731">
                  <c:v>110017.82000000002</c:v>
                </c:pt>
                <c:pt idx="732">
                  <c:v>113017.82000000002</c:v>
                </c:pt>
                <c:pt idx="733">
                  <c:v>117017.82000000002</c:v>
                </c:pt>
                <c:pt idx="734">
                  <c:v>112617.82000000002</c:v>
                </c:pt>
                <c:pt idx="735">
                  <c:v>116254.18000000002</c:v>
                </c:pt>
                <c:pt idx="736">
                  <c:v>112954.18000000002</c:v>
                </c:pt>
                <c:pt idx="737">
                  <c:v>115954.18000000002</c:v>
                </c:pt>
                <c:pt idx="738">
                  <c:v>110454.18000000002</c:v>
                </c:pt>
                <c:pt idx="739">
                  <c:v>113454.18000000002</c:v>
                </c:pt>
                <c:pt idx="740">
                  <c:v>108954.18000000002</c:v>
                </c:pt>
                <c:pt idx="741">
                  <c:v>112954.18000000002</c:v>
                </c:pt>
                <c:pt idx="742">
                  <c:v>116954.18000000002</c:v>
                </c:pt>
                <c:pt idx="743">
                  <c:v>120954.18000000002</c:v>
                </c:pt>
                <c:pt idx="744">
                  <c:v>123954.18000000002</c:v>
                </c:pt>
                <c:pt idx="745">
                  <c:v>127954.18000000002</c:v>
                </c:pt>
                <c:pt idx="746">
                  <c:v>150454.18000000002</c:v>
                </c:pt>
                <c:pt idx="747">
                  <c:v>155454.18000000002</c:v>
                </c:pt>
                <c:pt idx="748">
                  <c:v>152154.18000000002</c:v>
                </c:pt>
                <c:pt idx="749">
                  <c:v>156154.18000000002</c:v>
                </c:pt>
                <c:pt idx="750">
                  <c:v>160699.63000000003</c:v>
                </c:pt>
                <c:pt idx="751">
                  <c:v>163699.63000000003</c:v>
                </c:pt>
                <c:pt idx="752">
                  <c:v>166219.63000000003</c:v>
                </c:pt>
                <c:pt idx="753">
                  <c:v>167219.63000000003</c:v>
                </c:pt>
                <c:pt idx="754">
                  <c:v>171219.63000000003</c:v>
                </c:pt>
                <c:pt idx="755">
                  <c:v>166819.63000000003</c:v>
                </c:pt>
                <c:pt idx="756">
                  <c:v>169819.63000000003</c:v>
                </c:pt>
                <c:pt idx="757">
                  <c:v>174819.63000000003</c:v>
                </c:pt>
                <c:pt idx="758">
                  <c:v>177819.63000000003</c:v>
                </c:pt>
                <c:pt idx="759">
                  <c:v>173419.63000000003</c:v>
                </c:pt>
                <c:pt idx="760">
                  <c:v>178419.63000000003</c:v>
                </c:pt>
                <c:pt idx="761">
                  <c:v>174019.63000000003</c:v>
                </c:pt>
                <c:pt idx="762">
                  <c:v>173019.63000000003</c:v>
                </c:pt>
                <c:pt idx="763">
                  <c:v>176352.96000000002</c:v>
                </c:pt>
                <c:pt idx="764">
                  <c:v>181352.96000000002</c:v>
                </c:pt>
                <c:pt idx="765">
                  <c:v>184352.96000000002</c:v>
                </c:pt>
                <c:pt idx="766">
                  <c:v>187352.96000000002</c:v>
                </c:pt>
                <c:pt idx="767">
                  <c:v>185152.96000000002</c:v>
                </c:pt>
                <c:pt idx="768">
                  <c:v>179652.96000000002</c:v>
                </c:pt>
                <c:pt idx="769">
                  <c:v>178152.96000000002</c:v>
                </c:pt>
                <c:pt idx="770">
                  <c:v>182152.96000000002</c:v>
                </c:pt>
                <c:pt idx="771">
                  <c:v>185069.63000000003</c:v>
                </c:pt>
                <c:pt idx="772">
                  <c:v>181769.63000000003</c:v>
                </c:pt>
                <c:pt idx="773">
                  <c:v>186769.63000000003</c:v>
                </c:pt>
                <c:pt idx="774">
                  <c:v>189496.90000000002</c:v>
                </c:pt>
                <c:pt idx="775">
                  <c:v>185496.90000000002</c:v>
                </c:pt>
                <c:pt idx="776">
                  <c:v>188496.90000000002</c:v>
                </c:pt>
                <c:pt idx="777">
                  <c:v>182996.90000000002</c:v>
                </c:pt>
                <c:pt idx="778">
                  <c:v>186746.90000000002</c:v>
                </c:pt>
                <c:pt idx="779">
                  <c:v>190746.90000000002</c:v>
                </c:pt>
                <c:pt idx="780">
                  <c:v>186546.90000000002</c:v>
                </c:pt>
                <c:pt idx="781">
                  <c:v>182546.90000000002</c:v>
                </c:pt>
                <c:pt idx="782">
                  <c:v>186546.90000000002</c:v>
                </c:pt>
                <c:pt idx="783">
                  <c:v>191546.90000000002</c:v>
                </c:pt>
                <c:pt idx="784">
                  <c:v>190546.90000000002</c:v>
                </c:pt>
                <c:pt idx="785">
                  <c:v>194546.90000000002</c:v>
                </c:pt>
                <c:pt idx="786">
                  <c:v>199046.90000000002</c:v>
                </c:pt>
                <c:pt idx="787">
                  <c:v>195046.90000000002</c:v>
                </c:pt>
                <c:pt idx="788">
                  <c:v>197046.90000000002</c:v>
                </c:pt>
                <c:pt idx="789">
                  <c:v>194846.90000000002</c:v>
                </c:pt>
                <c:pt idx="790">
                  <c:v>197846.90000000002</c:v>
                </c:pt>
                <c:pt idx="791">
                  <c:v>201846.90000000002</c:v>
                </c:pt>
                <c:pt idx="792">
                  <c:v>196346.90000000002</c:v>
                </c:pt>
                <c:pt idx="793">
                  <c:v>199346.90000000002</c:v>
                </c:pt>
                <c:pt idx="794">
                  <c:v>203346.90000000002</c:v>
                </c:pt>
                <c:pt idx="795">
                  <c:v>207346.90000000002</c:v>
                </c:pt>
                <c:pt idx="796">
                  <c:v>211346.90000000002</c:v>
                </c:pt>
                <c:pt idx="797">
                  <c:v>215346.90000000002</c:v>
                </c:pt>
                <c:pt idx="798">
                  <c:v>220346.90000000002</c:v>
                </c:pt>
                <c:pt idx="799">
                  <c:v>216346.90000000002</c:v>
                </c:pt>
                <c:pt idx="800">
                  <c:v>213046.90000000002</c:v>
                </c:pt>
                <c:pt idx="801">
                  <c:v>208546.90000000002</c:v>
                </c:pt>
                <c:pt idx="802">
                  <c:v>204146.90000000002</c:v>
                </c:pt>
                <c:pt idx="803">
                  <c:v>201946.90000000002</c:v>
                </c:pt>
                <c:pt idx="804">
                  <c:v>197546.90000000002</c:v>
                </c:pt>
                <c:pt idx="805">
                  <c:v>193146.90000000002</c:v>
                </c:pt>
                <c:pt idx="806">
                  <c:v>194146.90000000002</c:v>
                </c:pt>
                <c:pt idx="807">
                  <c:v>199146.90000000002</c:v>
                </c:pt>
                <c:pt idx="808">
                  <c:v>194746.90000000002</c:v>
                </c:pt>
                <c:pt idx="809">
                  <c:v>194746.90000000002</c:v>
                </c:pt>
                <c:pt idx="810">
                  <c:v>197746.90000000002</c:v>
                </c:pt>
                <c:pt idx="811">
                  <c:v>202746.90000000002</c:v>
                </c:pt>
                <c:pt idx="812">
                  <c:v>205746.90000000002</c:v>
                </c:pt>
                <c:pt idx="813">
                  <c:v>201346.90000000002</c:v>
                </c:pt>
                <c:pt idx="814">
                  <c:v>206346.90000000002</c:v>
                </c:pt>
                <c:pt idx="815">
                  <c:v>210346.90000000002</c:v>
                </c:pt>
                <c:pt idx="816">
                  <c:v>212346.90000000002</c:v>
                </c:pt>
                <c:pt idx="817">
                  <c:v>207946.90000000002</c:v>
                </c:pt>
                <c:pt idx="818">
                  <c:v>211946.90000000002</c:v>
                </c:pt>
                <c:pt idx="819">
                  <c:v>209746.90000000002</c:v>
                </c:pt>
                <c:pt idx="820">
                  <c:v>204246.90000000002</c:v>
                </c:pt>
                <c:pt idx="821">
                  <c:v>208246.90000000002</c:v>
                </c:pt>
                <c:pt idx="822">
                  <c:v>208246.90000000002</c:v>
                </c:pt>
                <c:pt idx="823">
                  <c:v>211246.90000000002</c:v>
                </c:pt>
                <c:pt idx="824">
                  <c:v>215246.90000000002</c:v>
                </c:pt>
                <c:pt idx="825">
                  <c:v>213046.90000000002</c:v>
                </c:pt>
                <c:pt idx="826">
                  <c:v>208646.90000000002</c:v>
                </c:pt>
                <c:pt idx="827">
                  <c:v>206446.90000000002</c:v>
                </c:pt>
                <c:pt idx="828">
                  <c:v>201046.90000000002</c:v>
                </c:pt>
                <c:pt idx="829">
                  <c:v>195546.90000000002</c:v>
                </c:pt>
                <c:pt idx="830">
                  <c:v>192246.90000000002</c:v>
                </c:pt>
                <c:pt idx="831">
                  <c:v>187846.90000000002</c:v>
                </c:pt>
                <c:pt idx="832">
                  <c:v>182846.90000000002</c:v>
                </c:pt>
                <c:pt idx="833">
                  <c:v>186846.90000000002</c:v>
                </c:pt>
                <c:pt idx="834">
                  <c:v>183846.90000000002</c:v>
                </c:pt>
                <c:pt idx="835">
                  <c:v>183846.90000000002</c:v>
                </c:pt>
                <c:pt idx="836">
                  <c:v>180846.90000000002</c:v>
                </c:pt>
                <c:pt idx="837">
                  <c:v>183846.90000000002</c:v>
                </c:pt>
                <c:pt idx="838">
                  <c:v>179346.90000000002</c:v>
                </c:pt>
                <c:pt idx="839">
                  <c:v>183346.90000000002</c:v>
                </c:pt>
                <c:pt idx="840">
                  <c:v>180046.90000000002</c:v>
                </c:pt>
                <c:pt idx="841">
                  <c:v>184046.90000000002</c:v>
                </c:pt>
                <c:pt idx="842">
                  <c:v>180746.90000000002</c:v>
                </c:pt>
                <c:pt idx="843">
                  <c:v>175246.90000000002</c:v>
                </c:pt>
                <c:pt idx="844">
                  <c:v>174246.90000000002</c:v>
                </c:pt>
                <c:pt idx="845">
                  <c:v>177290.38000000003</c:v>
                </c:pt>
                <c:pt idx="846">
                  <c:v>175090.38000000003</c:v>
                </c:pt>
                <c:pt idx="847">
                  <c:v>178090.38000000003</c:v>
                </c:pt>
                <c:pt idx="848">
                  <c:v>173590.38000000003</c:v>
                </c:pt>
                <c:pt idx="849">
                  <c:v>168090.38000000003</c:v>
                </c:pt>
                <c:pt idx="850">
                  <c:v>164790.38000000003</c:v>
                </c:pt>
                <c:pt idx="851">
                  <c:v>165790.38000000003</c:v>
                </c:pt>
                <c:pt idx="852">
                  <c:v>169790.38000000003</c:v>
                </c:pt>
                <c:pt idx="853">
                  <c:v>172790.38000000003</c:v>
                </c:pt>
                <c:pt idx="854">
                  <c:v>174790.38000000003</c:v>
                </c:pt>
                <c:pt idx="855">
                  <c:v>170390.38000000003</c:v>
                </c:pt>
                <c:pt idx="856">
                  <c:v>175390.38000000003</c:v>
                </c:pt>
                <c:pt idx="857">
                  <c:v>179973.71000000002</c:v>
                </c:pt>
                <c:pt idx="858">
                  <c:v>174973.71000000002</c:v>
                </c:pt>
                <c:pt idx="859">
                  <c:v>178973.71000000002</c:v>
                </c:pt>
                <c:pt idx="860">
                  <c:v>182973.71000000002</c:v>
                </c:pt>
                <c:pt idx="861">
                  <c:v>185973.71000000002</c:v>
                </c:pt>
                <c:pt idx="862">
                  <c:v>189973.71000000002</c:v>
                </c:pt>
                <c:pt idx="863">
                  <c:v>188973.71000000002</c:v>
                </c:pt>
                <c:pt idx="864">
                  <c:v>189883.71000000002</c:v>
                </c:pt>
                <c:pt idx="865">
                  <c:v>189883.71000000002</c:v>
                </c:pt>
                <c:pt idx="866">
                  <c:v>185483.71000000002</c:v>
                </c:pt>
                <c:pt idx="867">
                  <c:v>189483.71000000002</c:v>
                </c:pt>
                <c:pt idx="868">
                  <c:v>186183.71000000002</c:v>
                </c:pt>
                <c:pt idx="869">
                  <c:v>182883.71000000002</c:v>
                </c:pt>
                <c:pt idx="870">
                  <c:v>186183.71000000002</c:v>
                </c:pt>
                <c:pt idx="871">
                  <c:v>180683.71000000002</c:v>
                </c:pt>
                <c:pt idx="872">
                  <c:v>185683.71000000002</c:v>
                </c:pt>
                <c:pt idx="873">
                  <c:v>183483.71000000002</c:v>
                </c:pt>
                <c:pt idx="874">
                  <c:v>186483.71000000002</c:v>
                </c:pt>
                <c:pt idx="875">
                  <c:v>191483.71000000002</c:v>
                </c:pt>
                <c:pt idx="876">
                  <c:v>194983.71000000002</c:v>
                </c:pt>
                <c:pt idx="877">
                  <c:v>189983.71000000002</c:v>
                </c:pt>
                <c:pt idx="878">
                  <c:v>192983.71000000002</c:v>
                </c:pt>
                <c:pt idx="879">
                  <c:v>197983.71000000002</c:v>
                </c:pt>
                <c:pt idx="880">
                  <c:v>196983.71000000002</c:v>
                </c:pt>
                <c:pt idx="881">
                  <c:v>195983.71000000002</c:v>
                </c:pt>
                <c:pt idx="882">
                  <c:v>199733.71000000002</c:v>
                </c:pt>
                <c:pt idx="883">
                  <c:v>204733.71000000002</c:v>
                </c:pt>
                <c:pt idx="884">
                  <c:v>207933.71000000002</c:v>
                </c:pt>
                <c:pt idx="885">
                  <c:v>214423.71000000002</c:v>
                </c:pt>
                <c:pt idx="886">
                  <c:v>207923.71000000002</c:v>
                </c:pt>
                <c:pt idx="887">
                  <c:v>201923.71000000002</c:v>
                </c:pt>
                <c:pt idx="888">
                  <c:v>198623.71000000002</c:v>
                </c:pt>
                <c:pt idx="889">
                  <c:v>200623.71000000002</c:v>
                </c:pt>
                <c:pt idx="890">
                  <c:v>204536.75000000003</c:v>
                </c:pt>
                <c:pt idx="891">
                  <c:v>205786.75000000003</c:v>
                </c:pt>
                <c:pt idx="892">
                  <c:v>201286.75000000003</c:v>
                </c:pt>
                <c:pt idx="893">
                  <c:v>201286.75000000003</c:v>
                </c:pt>
                <c:pt idx="894">
                  <c:v>199086.75000000003</c:v>
                </c:pt>
                <c:pt idx="895">
                  <c:v>194086.75000000003</c:v>
                </c:pt>
                <c:pt idx="896">
                  <c:v>192986.75000000003</c:v>
                </c:pt>
                <c:pt idx="897">
                  <c:v>189686.75000000003</c:v>
                </c:pt>
                <c:pt idx="898">
                  <c:v>192686.75000000003</c:v>
                </c:pt>
                <c:pt idx="899">
                  <c:v>188286.75000000003</c:v>
                </c:pt>
                <c:pt idx="900">
                  <c:v>190286.75000000003</c:v>
                </c:pt>
                <c:pt idx="901">
                  <c:v>186986.75000000003</c:v>
                </c:pt>
                <c:pt idx="902">
                  <c:v>190320.08000000002</c:v>
                </c:pt>
                <c:pt idx="903">
                  <c:v>187320.08000000002</c:v>
                </c:pt>
                <c:pt idx="904">
                  <c:v>189320.08000000002</c:v>
                </c:pt>
                <c:pt idx="905">
                  <c:v>192320.08000000002</c:v>
                </c:pt>
                <c:pt idx="906">
                  <c:v>194070.08000000002</c:v>
                </c:pt>
                <c:pt idx="907">
                  <c:v>198070.08000000002</c:v>
                </c:pt>
                <c:pt idx="908">
                  <c:v>200070.08000000002</c:v>
                </c:pt>
                <c:pt idx="909">
                  <c:v>204653.41</c:v>
                </c:pt>
                <c:pt idx="910">
                  <c:v>208653.41</c:v>
                </c:pt>
                <c:pt idx="911">
                  <c:v>211653.41</c:v>
                </c:pt>
                <c:pt idx="912">
                  <c:v>209453.41</c:v>
                </c:pt>
                <c:pt idx="913">
                  <c:v>206153.41</c:v>
                </c:pt>
                <c:pt idx="914">
                  <c:v>199553.41</c:v>
                </c:pt>
                <c:pt idx="915">
                  <c:v>201553.41</c:v>
                </c:pt>
                <c:pt idx="916">
                  <c:v>203220.08000000002</c:v>
                </c:pt>
                <c:pt idx="917">
                  <c:v>207386.75000000003</c:v>
                </c:pt>
                <c:pt idx="918">
                  <c:v>210386.75000000003</c:v>
                </c:pt>
                <c:pt idx="919">
                  <c:v>213386.75000000003</c:v>
                </c:pt>
                <c:pt idx="920">
                  <c:v>218386.75000000003</c:v>
                </c:pt>
                <c:pt idx="921">
                  <c:v>220386.75000000003</c:v>
                </c:pt>
                <c:pt idx="922">
                  <c:v>219386.75000000003</c:v>
                </c:pt>
                <c:pt idx="923">
                  <c:v>223386.75000000003</c:v>
                </c:pt>
                <c:pt idx="924">
                  <c:v>220086.75000000003</c:v>
                </c:pt>
                <c:pt idx="925">
                  <c:v>218986.75000000003</c:v>
                </c:pt>
                <c:pt idx="926">
                  <c:v>221986.75000000003</c:v>
                </c:pt>
                <c:pt idx="927">
                  <c:v>222986.75000000003</c:v>
                </c:pt>
                <c:pt idx="928">
                  <c:v>218486.75000000003</c:v>
                </c:pt>
                <c:pt idx="929">
                  <c:v>223486.75000000003</c:v>
                </c:pt>
                <c:pt idx="930">
                  <c:v>217986.75000000003</c:v>
                </c:pt>
                <c:pt idx="931">
                  <c:v>221986.75000000003</c:v>
                </c:pt>
                <c:pt idx="932">
                  <c:v>225986.75000000003</c:v>
                </c:pt>
                <c:pt idx="933">
                  <c:v>229986.75000000003</c:v>
                </c:pt>
                <c:pt idx="934">
                  <c:v>232986.75000000003</c:v>
                </c:pt>
                <c:pt idx="935">
                  <c:v>229686.75000000003</c:v>
                </c:pt>
                <c:pt idx="936">
                  <c:v>226386.75000000003</c:v>
                </c:pt>
                <c:pt idx="937">
                  <c:v>223086.75000000003</c:v>
                </c:pt>
                <c:pt idx="938">
                  <c:v>225086.75000000003</c:v>
                </c:pt>
                <c:pt idx="939">
                  <c:v>227170.08000000002</c:v>
                </c:pt>
                <c:pt idx="940">
                  <c:v>221670.08000000002</c:v>
                </c:pt>
                <c:pt idx="941">
                  <c:v>218370.08000000002</c:v>
                </c:pt>
                <c:pt idx="942">
                  <c:v>217370.08000000002</c:v>
                </c:pt>
                <c:pt idx="943">
                  <c:v>222370.08000000002</c:v>
                </c:pt>
                <c:pt idx="944">
                  <c:v>225370.08000000002</c:v>
                </c:pt>
                <c:pt idx="945">
                  <c:v>228370.08000000002</c:v>
                </c:pt>
                <c:pt idx="946">
                  <c:v>232370.08000000002</c:v>
                </c:pt>
                <c:pt idx="947">
                  <c:v>230170.08000000002</c:v>
                </c:pt>
                <c:pt idx="948">
                  <c:v>233503.41</c:v>
                </c:pt>
                <c:pt idx="949">
                  <c:v>234503.41</c:v>
                </c:pt>
                <c:pt idx="950">
                  <c:v>238503.41</c:v>
                </c:pt>
                <c:pt idx="951">
                  <c:v>241503.41</c:v>
                </c:pt>
                <c:pt idx="952">
                  <c:v>244503.41</c:v>
                </c:pt>
                <c:pt idx="953">
                  <c:v>247503.41</c:v>
                </c:pt>
                <c:pt idx="954">
                  <c:v>251503.41</c:v>
                </c:pt>
                <c:pt idx="955">
                  <c:v>246003.41</c:v>
                </c:pt>
                <c:pt idx="956">
                  <c:v>248177.32</c:v>
                </c:pt>
                <c:pt idx="957">
                  <c:v>249177.32</c:v>
                </c:pt>
                <c:pt idx="958">
                  <c:v>245177.32</c:v>
                </c:pt>
                <c:pt idx="959">
                  <c:v>249177.32</c:v>
                </c:pt>
                <c:pt idx="960">
                  <c:v>252093.99000000002</c:v>
                </c:pt>
                <c:pt idx="961">
                  <c:v>256876.6</c:v>
                </c:pt>
                <c:pt idx="962">
                  <c:v>260876.6</c:v>
                </c:pt>
                <c:pt idx="963">
                  <c:v>256376.6</c:v>
                </c:pt>
                <c:pt idx="964">
                  <c:v>260376.6</c:v>
                </c:pt>
                <c:pt idx="965">
                  <c:v>257076.6</c:v>
                </c:pt>
                <c:pt idx="966">
                  <c:v>259876.6</c:v>
                </c:pt>
                <c:pt idx="967">
                  <c:v>259876.6</c:v>
                </c:pt>
                <c:pt idx="968">
                  <c:v>262876.59999999998</c:v>
                </c:pt>
                <c:pt idx="969">
                  <c:v>264876.59999999998</c:v>
                </c:pt>
                <c:pt idx="970">
                  <c:v>261576.59999999998</c:v>
                </c:pt>
                <c:pt idx="971">
                  <c:v>265326.59999999998</c:v>
                </c:pt>
                <c:pt idx="972">
                  <c:v>262026.59999999998</c:v>
                </c:pt>
                <c:pt idx="973">
                  <c:v>257626.59999999998</c:v>
                </c:pt>
                <c:pt idx="974">
                  <c:v>260626.59999999998</c:v>
                </c:pt>
                <c:pt idx="975">
                  <c:v>255126.59999999998</c:v>
                </c:pt>
                <c:pt idx="976">
                  <c:v>249626.59999999998</c:v>
                </c:pt>
                <c:pt idx="977">
                  <c:v>247426.59999999998</c:v>
                </c:pt>
                <c:pt idx="978">
                  <c:v>251426.59999999998</c:v>
                </c:pt>
                <c:pt idx="979">
                  <c:v>254626.59999999998</c:v>
                </c:pt>
                <c:pt idx="980">
                  <c:v>257626.59999999998</c:v>
                </c:pt>
                <c:pt idx="981">
                  <c:v>261626.59999999998</c:v>
                </c:pt>
                <c:pt idx="982">
                  <c:v>264626.59999999998</c:v>
                </c:pt>
                <c:pt idx="983">
                  <c:v>269626.59999999998</c:v>
                </c:pt>
                <c:pt idx="984">
                  <c:v>268626.59999999998</c:v>
                </c:pt>
                <c:pt idx="985">
                  <c:v>269626.59999999998</c:v>
                </c:pt>
                <c:pt idx="986">
                  <c:v>269626.59999999998</c:v>
                </c:pt>
                <c:pt idx="987">
                  <c:v>266126.59999999998</c:v>
                </c:pt>
                <c:pt idx="988">
                  <c:v>269459.93</c:v>
                </c:pt>
                <c:pt idx="989">
                  <c:v>271459.93</c:v>
                </c:pt>
                <c:pt idx="990">
                  <c:v>268159.93</c:v>
                </c:pt>
                <c:pt idx="991">
                  <c:v>272942.53999999998</c:v>
                </c:pt>
                <c:pt idx="992">
                  <c:v>274942.53999999998</c:v>
                </c:pt>
                <c:pt idx="993">
                  <c:v>277942.53999999998</c:v>
                </c:pt>
                <c:pt idx="994">
                  <c:v>280859.20999999996</c:v>
                </c:pt>
                <c:pt idx="995">
                  <c:v>281859.20999999996</c:v>
                </c:pt>
                <c:pt idx="996">
                  <c:v>286025.87999999995</c:v>
                </c:pt>
                <c:pt idx="997">
                  <c:v>282725.87999999995</c:v>
                </c:pt>
                <c:pt idx="998">
                  <c:v>282725.87999999995</c:v>
                </c:pt>
                <c:pt idx="999">
                  <c:v>284725.87999999995</c:v>
                </c:pt>
                <c:pt idx="1000">
                  <c:v>286725.87999999995</c:v>
                </c:pt>
                <c:pt idx="1001">
                  <c:v>286725.87999999995</c:v>
                </c:pt>
                <c:pt idx="1002">
                  <c:v>281225.87999999995</c:v>
                </c:pt>
                <c:pt idx="1003">
                  <c:v>282225.87999999995</c:v>
                </c:pt>
                <c:pt idx="1004">
                  <c:v>286225.87999999995</c:v>
                </c:pt>
                <c:pt idx="1005">
                  <c:v>282925.87999999995</c:v>
                </c:pt>
                <c:pt idx="1006">
                  <c:v>286925.87999999995</c:v>
                </c:pt>
                <c:pt idx="1007">
                  <c:v>289925.87999999995</c:v>
                </c:pt>
                <c:pt idx="1008">
                  <c:v>291925.87999999995</c:v>
                </c:pt>
                <c:pt idx="1009">
                  <c:v>287525.87999999995</c:v>
                </c:pt>
                <c:pt idx="1010">
                  <c:v>284225.87999999995</c:v>
                </c:pt>
                <c:pt idx="1011">
                  <c:v>278725.87999999995</c:v>
                </c:pt>
                <c:pt idx="1012">
                  <c:v>283725.87999999995</c:v>
                </c:pt>
                <c:pt idx="1013">
                  <c:v>286453.14999999997</c:v>
                </c:pt>
                <c:pt idx="1014">
                  <c:v>290453.14999999997</c:v>
                </c:pt>
                <c:pt idx="1015">
                  <c:v>287153.14999999997</c:v>
                </c:pt>
                <c:pt idx="1016">
                  <c:v>289253.14999999997</c:v>
                </c:pt>
                <c:pt idx="1017">
                  <c:v>284853.14999999997</c:v>
                </c:pt>
                <c:pt idx="1018">
                  <c:v>282653.14999999997</c:v>
                </c:pt>
                <c:pt idx="1019">
                  <c:v>282653.14999999997</c:v>
                </c:pt>
                <c:pt idx="1020">
                  <c:v>277153.14999999997</c:v>
                </c:pt>
                <c:pt idx="1021">
                  <c:v>274953.14999999997</c:v>
                </c:pt>
                <c:pt idx="1022">
                  <c:v>270553.14999999997</c:v>
                </c:pt>
                <c:pt idx="1023">
                  <c:v>267253.14999999997</c:v>
                </c:pt>
                <c:pt idx="1024">
                  <c:v>263953.14999999997</c:v>
                </c:pt>
                <c:pt idx="1025">
                  <c:v>262953.14999999997</c:v>
                </c:pt>
                <c:pt idx="1026">
                  <c:v>259653.14999999997</c:v>
                </c:pt>
                <c:pt idx="1027">
                  <c:v>258653.14999999997</c:v>
                </c:pt>
                <c:pt idx="1028">
                  <c:v>255653.14999999997</c:v>
                </c:pt>
                <c:pt idx="1029">
                  <c:v>260653.14999999997</c:v>
                </c:pt>
                <c:pt idx="1030">
                  <c:v>257653.14999999997</c:v>
                </c:pt>
                <c:pt idx="1031">
                  <c:v>253253.14999999997</c:v>
                </c:pt>
                <c:pt idx="1032">
                  <c:v>254253.14999999997</c:v>
                </c:pt>
                <c:pt idx="1033">
                  <c:v>249253.14999999997</c:v>
                </c:pt>
                <c:pt idx="1034">
                  <c:v>246753.14999999997</c:v>
                </c:pt>
                <c:pt idx="1035">
                  <c:v>242353.14999999997</c:v>
                </c:pt>
                <c:pt idx="1036">
                  <c:v>244353.14999999997</c:v>
                </c:pt>
                <c:pt idx="1037">
                  <c:v>247353.14999999997</c:v>
                </c:pt>
                <c:pt idx="1038">
                  <c:v>252353.14999999997</c:v>
                </c:pt>
                <c:pt idx="1039">
                  <c:v>247953.14999999997</c:v>
                </c:pt>
                <c:pt idx="1040">
                  <c:v>246953.14999999997</c:v>
                </c:pt>
                <c:pt idx="1041">
                  <c:v>244953.14999999997</c:v>
                </c:pt>
                <c:pt idx="1042">
                  <c:v>241653.14999999997</c:v>
                </c:pt>
                <c:pt idx="1043">
                  <c:v>244986.47999999995</c:v>
                </c:pt>
                <c:pt idx="1044">
                  <c:v>247986.47999999995</c:v>
                </c:pt>
                <c:pt idx="1045">
                  <c:v>249686.47999999995</c:v>
                </c:pt>
                <c:pt idx="1046">
                  <c:v>247486.47999999995</c:v>
                </c:pt>
                <c:pt idx="1047">
                  <c:v>244186.47999999995</c:v>
                </c:pt>
                <c:pt idx="1048">
                  <c:v>243186.47999999995</c:v>
                </c:pt>
                <c:pt idx="1049">
                  <c:v>238786.47999999995</c:v>
                </c:pt>
                <c:pt idx="1050">
                  <c:v>236786.47999999995</c:v>
                </c:pt>
                <c:pt idx="1051">
                  <c:v>231286.47999999995</c:v>
                </c:pt>
                <c:pt idx="1052">
                  <c:v>226886.47999999995</c:v>
                </c:pt>
                <c:pt idx="1053">
                  <c:v>229803.14999999997</c:v>
                </c:pt>
                <c:pt idx="1054">
                  <c:v>226503.14999999997</c:v>
                </c:pt>
                <c:pt idx="1055">
                  <c:v>222103.14999999997</c:v>
                </c:pt>
                <c:pt idx="1056">
                  <c:v>224103.14999999997</c:v>
                </c:pt>
                <c:pt idx="1057">
                  <c:v>228103.14999999997</c:v>
                </c:pt>
                <c:pt idx="1058">
                  <c:v>226603.14999999997</c:v>
                </c:pt>
                <c:pt idx="1059">
                  <c:v>229603.14999999997</c:v>
                </c:pt>
                <c:pt idx="1060">
                  <c:v>227403.14999999997</c:v>
                </c:pt>
                <c:pt idx="1061">
                  <c:v>226403.14999999997</c:v>
                </c:pt>
                <c:pt idx="1062">
                  <c:v>228403.14999999997</c:v>
                </c:pt>
                <c:pt idx="1063">
                  <c:v>225103.14999999997</c:v>
                </c:pt>
                <c:pt idx="1064">
                  <c:v>230103.14999999997</c:v>
                </c:pt>
                <c:pt idx="1065">
                  <c:v>234016.18999999997</c:v>
                </c:pt>
                <c:pt idx="1066">
                  <c:v>231816.18999999997</c:v>
                </c:pt>
                <c:pt idx="1067">
                  <c:v>228516.18999999997</c:v>
                </c:pt>
                <c:pt idx="1068">
                  <c:v>233516.18999999997</c:v>
                </c:pt>
                <c:pt idx="1069">
                  <c:v>230216.18999999997</c:v>
                </c:pt>
                <c:pt idx="1070">
                  <c:v>228216.18999999997</c:v>
                </c:pt>
                <c:pt idx="1071">
                  <c:v>223816.18999999997</c:v>
                </c:pt>
                <c:pt idx="1072">
                  <c:v>221616.18999999997</c:v>
                </c:pt>
                <c:pt idx="1073">
                  <c:v>217116.18999999997</c:v>
                </c:pt>
                <c:pt idx="1074">
                  <c:v>216116.18999999997</c:v>
                </c:pt>
                <c:pt idx="1075">
                  <c:v>212816.18999999997</c:v>
                </c:pt>
                <c:pt idx="1076">
                  <c:v>211716.18999999997</c:v>
                </c:pt>
                <c:pt idx="1077">
                  <c:v>208216.18999999997</c:v>
                </c:pt>
                <c:pt idx="1078">
                  <c:v>205216.18999999997</c:v>
                </c:pt>
                <c:pt idx="1079">
                  <c:v>207216.18999999997</c:v>
                </c:pt>
                <c:pt idx="1080">
                  <c:v>211799.51999999996</c:v>
                </c:pt>
                <c:pt idx="1081">
                  <c:v>215799.51999999996</c:v>
                </c:pt>
                <c:pt idx="1082">
                  <c:v>219299.51999999996</c:v>
                </c:pt>
                <c:pt idx="1083">
                  <c:v>219299.51999999996</c:v>
                </c:pt>
                <c:pt idx="1084">
                  <c:v>220299.51999999996</c:v>
                </c:pt>
                <c:pt idx="1085">
                  <c:v>221299.51999999996</c:v>
                </c:pt>
                <c:pt idx="1086">
                  <c:v>215799.51999999996</c:v>
                </c:pt>
                <c:pt idx="1087">
                  <c:v>218799.51999999996</c:v>
                </c:pt>
                <c:pt idx="1088">
                  <c:v>215499.51999999996</c:v>
                </c:pt>
                <c:pt idx="1089">
                  <c:v>217499.51999999996</c:v>
                </c:pt>
                <c:pt idx="1090">
                  <c:v>221499.51999999996</c:v>
                </c:pt>
                <c:pt idx="1091">
                  <c:v>225499.51999999996</c:v>
                </c:pt>
                <c:pt idx="1092">
                  <c:v>224999.51999999996</c:v>
                </c:pt>
                <c:pt idx="1093">
                  <c:v>228999.51999999996</c:v>
                </c:pt>
                <c:pt idx="1094">
                  <c:v>231999.51999999996</c:v>
                </c:pt>
                <c:pt idx="1095">
                  <c:v>229499.51999999996</c:v>
                </c:pt>
                <c:pt idx="1096">
                  <c:v>223999.51999999996</c:v>
                </c:pt>
                <c:pt idx="1097">
                  <c:v>222899.51999999996</c:v>
                </c:pt>
                <c:pt idx="1098">
                  <c:v>221799.51999999996</c:v>
                </c:pt>
                <c:pt idx="1099">
                  <c:v>218499.51999999996</c:v>
                </c:pt>
                <c:pt idx="1100">
                  <c:v>223499.51999999996</c:v>
                </c:pt>
                <c:pt idx="1101">
                  <c:v>225499.51999999996</c:v>
                </c:pt>
                <c:pt idx="1102">
                  <c:v>227673.42999999996</c:v>
                </c:pt>
                <c:pt idx="1103">
                  <c:v>229673.42999999996</c:v>
                </c:pt>
                <c:pt idx="1104">
                  <c:v>230673.42999999996</c:v>
                </c:pt>
                <c:pt idx="1105">
                  <c:v>223173.42999999996</c:v>
                </c:pt>
                <c:pt idx="1106">
                  <c:v>218873.42999999996</c:v>
                </c:pt>
                <c:pt idx="1107">
                  <c:v>216673.42999999996</c:v>
                </c:pt>
                <c:pt idx="1108">
                  <c:v>212373.42999999996</c:v>
                </c:pt>
                <c:pt idx="1109">
                  <c:v>215290.09999999998</c:v>
                </c:pt>
                <c:pt idx="1110">
                  <c:v>218290.09999999998</c:v>
                </c:pt>
                <c:pt idx="1111">
                  <c:v>222290.09999999998</c:v>
                </c:pt>
                <c:pt idx="1112">
                  <c:v>220090.09999999998</c:v>
                </c:pt>
                <c:pt idx="1113">
                  <c:v>215490.09999999998</c:v>
                </c:pt>
                <c:pt idx="1114">
                  <c:v>218490.09999999998</c:v>
                </c:pt>
                <c:pt idx="1115">
                  <c:v>219671.91999999998</c:v>
                </c:pt>
                <c:pt idx="1116">
                  <c:v>220671.91999999998</c:v>
                </c:pt>
                <c:pt idx="1117">
                  <c:v>225671.91999999998</c:v>
                </c:pt>
                <c:pt idx="1118">
                  <c:v>224671.91999999998</c:v>
                </c:pt>
                <c:pt idx="1119">
                  <c:v>222471.91999999998</c:v>
                </c:pt>
                <c:pt idx="1120">
                  <c:v>217071.91999999998</c:v>
                </c:pt>
                <c:pt idx="1121">
                  <c:v>212571.91999999998</c:v>
                </c:pt>
                <c:pt idx="1122">
                  <c:v>211471.91999999998</c:v>
                </c:pt>
                <c:pt idx="1123">
                  <c:v>216254.52999999997</c:v>
                </c:pt>
                <c:pt idx="1124">
                  <c:v>218254.52999999997</c:v>
                </c:pt>
                <c:pt idx="1125">
                  <c:v>220337.85999999996</c:v>
                </c:pt>
                <c:pt idx="1126">
                  <c:v>214837.85999999996</c:v>
                </c:pt>
                <c:pt idx="1127">
                  <c:v>210437.85999999996</c:v>
                </c:pt>
                <c:pt idx="1128">
                  <c:v>212437.85999999996</c:v>
                </c:pt>
                <c:pt idx="1129">
                  <c:v>215437.85999999996</c:v>
                </c:pt>
                <c:pt idx="1130">
                  <c:v>219437.85999999996</c:v>
                </c:pt>
                <c:pt idx="1131">
                  <c:v>215037.85999999996</c:v>
                </c:pt>
                <c:pt idx="1132">
                  <c:v>220492.40999999995</c:v>
                </c:pt>
                <c:pt idx="1133">
                  <c:v>223492.40999999995</c:v>
                </c:pt>
                <c:pt idx="1134">
                  <c:v>226992.40999999995</c:v>
                </c:pt>
                <c:pt idx="1135">
                  <c:v>227992.40999999995</c:v>
                </c:pt>
                <c:pt idx="1136">
                  <c:v>231992.40999999995</c:v>
                </c:pt>
                <c:pt idx="1137">
                  <c:v>225492.40999999995</c:v>
                </c:pt>
                <c:pt idx="1138">
                  <c:v>221092.40999999995</c:v>
                </c:pt>
                <c:pt idx="1139">
                  <c:v>216692.40999999995</c:v>
                </c:pt>
                <c:pt idx="1140">
                  <c:v>212292.40999999995</c:v>
                </c:pt>
                <c:pt idx="1141">
                  <c:v>213292.40999999995</c:v>
                </c:pt>
                <c:pt idx="1142">
                  <c:v>207792.40999999995</c:v>
                </c:pt>
                <c:pt idx="1143">
                  <c:v>204492.40999999995</c:v>
                </c:pt>
                <c:pt idx="1144">
                  <c:v>199692.40999999995</c:v>
                </c:pt>
                <c:pt idx="1145">
                  <c:v>194292.40999999995</c:v>
                </c:pt>
                <c:pt idx="1146">
                  <c:v>198292.40999999995</c:v>
                </c:pt>
                <c:pt idx="1147">
                  <c:v>192792.40999999995</c:v>
                </c:pt>
                <c:pt idx="1148">
                  <c:v>187292.40999999995</c:v>
                </c:pt>
                <c:pt idx="1149">
                  <c:v>183992.40999999995</c:v>
                </c:pt>
                <c:pt idx="1150">
                  <c:v>181492.40999999995</c:v>
                </c:pt>
                <c:pt idx="1151">
                  <c:v>185310.58999999994</c:v>
                </c:pt>
                <c:pt idx="1152">
                  <c:v>188310.58999999994</c:v>
                </c:pt>
                <c:pt idx="1153">
                  <c:v>191810.58999999994</c:v>
                </c:pt>
                <c:pt idx="1154">
                  <c:v>196210.58999999994</c:v>
                </c:pt>
                <c:pt idx="1155">
                  <c:v>192710.58999999994</c:v>
                </c:pt>
                <c:pt idx="1156">
                  <c:v>189410.58999999994</c:v>
                </c:pt>
                <c:pt idx="1157">
                  <c:v>191410.58999999994</c:v>
                </c:pt>
                <c:pt idx="1158">
                  <c:v>187010.58999999994</c:v>
                </c:pt>
                <c:pt idx="1159">
                  <c:v>187010.58999999994</c:v>
                </c:pt>
                <c:pt idx="1160">
                  <c:v>190010.58999999994</c:v>
                </c:pt>
                <c:pt idx="1161">
                  <c:v>193010.58999999994</c:v>
                </c:pt>
                <c:pt idx="1162">
                  <c:v>191810.58999999994</c:v>
                </c:pt>
                <c:pt idx="1163">
                  <c:v>190710.58999999994</c:v>
                </c:pt>
                <c:pt idx="1164">
                  <c:v>194710.58999999994</c:v>
                </c:pt>
                <c:pt idx="1165">
                  <c:v>192310.58999999994</c:v>
                </c:pt>
                <c:pt idx="1166">
                  <c:v>197310.58999999994</c:v>
                </c:pt>
                <c:pt idx="1167">
                  <c:v>200310.58999999994</c:v>
                </c:pt>
                <c:pt idx="1168">
                  <c:v>202310.58999999994</c:v>
                </c:pt>
                <c:pt idx="1169">
                  <c:v>197910.58999999994</c:v>
                </c:pt>
                <c:pt idx="1170">
                  <c:v>202683.31999999995</c:v>
                </c:pt>
                <c:pt idx="1171">
                  <c:v>200683.31999999995</c:v>
                </c:pt>
                <c:pt idx="1172">
                  <c:v>197183.31999999995</c:v>
                </c:pt>
                <c:pt idx="1173">
                  <c:v>200183.31999999995</c:v>
                </c:pt>
                <c:pt idx="1174">
                  <c:v>201683.31999999995</c:v>
                </c:pt>
                <c:pt idx="1175">
                  <c:v>203733.31999999995</c:v>
                </c:pt>
                <c:pt idx="1176">
                  <c:v>207733.31999999995</c:v>
                </c:pt>
                <c:pt idx="1177">
                  <c:v>210733.31999999995</c:v>
                </c:pt>
                <c:pt idx="1178">
                  <c:v>207433.31999999995</c:v>
                </c:pt>
                <c:pt idx="1179">
                  <c:v>201933.31999999995</c:v>
                </c:pt>
                <c:pt idx="1180">
                  <c:v>198633.31999999995</c:v>
                </c:pt>
                <c:pt idx="1181">
                  <c:v>201633.31999999995</c:v>
                </c:pt>
                <c:pt idx="1182">
                  <c:v>204633.31999999995</c:v>
                </c:pt>
                <c:pt idx="1183">
                  <c:v>202983.31999999995</c:v>
                </c:pt>
                <c:pt idx="1184">
                  <c:v>207566.64999999994</c:v>
                </c:pt>
                <c:pt idx="1185">
                  <c:v>204266.64999999994</c:v>
                </c:pt>
                <c:pt idx="1186">
                  <c:v>206266.64999999994</c:v>
                </c:pt>
                <c:pt idx="1187">
                  <c:v>200766.64999999994</c:v>
                </c:pt>
                <c:pt idx="1188">
                  <c:v>205549.25999999992</c:v>
                </c:pt>
                <c:pt idx="1189">
                  <c:v>201149.25999999992</c:v>
                </c:pt>
                <c:pt idx="1190">
                  <c:v>196749.25999999992</c:v>
                </c:pt>
                <c:pt idx="1191">
                  <c:v>199931.07999999993</c:v>
                </c:pt>
                <c:pt idx="1192">
                  <c:v>197731.07999999993</c:v>
                </c:pt>
                <c:pt idx="1193">
                  <c:v>201821.98999999993</c:v>
                </c:pt>
                <c:pt idx="1194">
                  <c:v>205458.34999999992</c:v>
                </c:pt>
                <c:pt idx="1195">
                  <c:v>206458.34999999992</c:v>
                </c:pt>
                <c:pt idx="1196">
                  <c:v>205358.34999999992</c:v>
                </c:pt>
                <c:pt idx="1197">
                  <c:v>202858.34999999992</c:v>
                </c:pt>
                <c:pt idx="1198">
                  <c:v>206858.34999999992</c:v>
                </c:pt>
                <c:pt idx="1199">
                  <c:v>208508.34999999992</c:v>
                </c:pt>
                <c:pt idx="1200">
                  <c:v>203008.34999999992</c:v>
                </c:pt>
                <c:pt idx="1201">
                  <c:v>200258.34999999992</c:v>
                </c:pt>
                <c:pt idx="1202">
                  <c:v>203258.34999999992</c:v>
                </c:pt>
                <c:pt idx="1203">
                  <c:v>203258.34999999992</c:v>
                </c:pt>
                <c:pt idx="1204">
                  <c:v>200258.34999999992</c:v>
                </c:pt>
                <c:pt idx="1205">
                  <c:v>198058.34999999992</c:v>
                </c:pt>
                <c:pt idx="1206">
                  <c:v>196058.34999999992</c:v>
                </c:pt>
                <c:pt idx="1207">
                  <c:v>194708.34999999992</c:v>
                </c:pt>
                <c:pt idx="1208">
                  <c:v>196708.34999999992</c:v>
                </c:pt>
                <c:pt idx="1209">
                  <c:v>197708.34999999992</c:v>
                </c:pt>
                <c:pt idx="1210">
                  <c:v>199708.34999999992</c:v>
                </c:pt>
                <c:pt idx="1211">
                  <c:v>201058.34999999992</c:v>
                </c:pt>
                <c:pt idx="1212">
                  <c:v>202058.34999999992</c:v>
                </c:pt>
                <c:pt idx="1213">
                  <c:v>203058.34999999992</c:v>
                </c:pt>
                <c:pt idx="1214">
                  <c:v>208058.34999999992</c:v>
                </c:pt>
                <c:pt idx="1215">
                  <c:v>204758.34999999992</c:v>
                </c:pt>
                <c:pt idx="1216">
                  <c:v>202558.34999999992</c:v>
                </c:pt>
                <c:pt idx="1217">
                  <c:v>205058.34999999992</c:v>
                </c:pt>
                <c:pt idx="1218">
                  <c:v>207558.34999999992</c:v>
                </c:pt>
                <c:pt idx="1219">
                  <c:v>210058.34999999992</c:v>
                </c:pt>
                <c:pt idx="1220">
                  <c:v>206758.34999999992</c:v>
                </c:pt>
                <c:pt idx="1221">
                  <c:v>209758.34999999992</c:v>
                </c:pt>
                <c:pt idx="1222">
                  <c:v>209758.34999999992</c:v>
                </c:pt>
                <c:pt idx="1223">
                  <c:v>205358.34999999992</c:v>
                </c:pt>
                <c:pt idx="1224">
                  <c:v>202058.34999999992</c:v>
                </c:pt>
                <c:pt idx="1225">
                  <c:v>205058.34999999992</c:v>
                </c:pt>
                <c:pt idx="1226">
                  <c:v>208058.34999999992</c:v>
                </c:pt>
                <c:pt idx="1227">
                  <c:v>206958.34999999992</c:v>
                </c:pt>
                <c:pt idx="1228">
                  <c:v>209958.34999999992</c:v>
                </c:pt>
                <c:pt idx="1229">
                  <c:v>212958.34999999992</c:v>
                </c:pt>
                <c:pt idx="1230">
                  <c:v>209658.34999999992</c:v>
                </c:pt>
                <c:pt idx="1231">
                  <c:v>212658.34999999992</c:v>
                </c:pt>
                <c:pt idx="1232">
                  <c:v>215658.34999999992</c:v>
                </c:pt>
                <c:pt idx="1233">
                  <c:v>212658.34999999992</c:v>
                </c:pt>
                <c:pt idx="1234">
                  <c:v>216658.34999999992</c:v>
                </c:pt>
                <c:pt idx="1235">
                  <c:v>215558.34999999992</c:v>
                </c:pt>
                <c:pt idx="1236">
                  <c:v>212258.34999999992</c:v>
                </c:pt>
                <c:pt idx="1237">
                  <c:v>215258.34999999992</c:v>
                </c:pt>
                <c:pt idx="1238">
                  <c:v>213058.34999999992</c:v>
                </c:pt>
                <c:pt idx="1239">
                  <c:v>208658.34999999992</c:v>
                </c:pt>
                <c:pt idx="1240">
                  <c:v>211658.34999999992</c:v>
                </c:pt>
                <c:pt idx="1241">
                  <c:v>210558.34999999992</c:v>
                </c:pt>
                <c:pt idx="1242">
                  <c:v>207558.34999999992</c:v>
                </c:pt>
                <c:pt idx="1243">
                  <c:v>205358.34999999992</c:v>
                </c:pt>
                <c:pt idx="1244">
                  <c:v>202058.34999999992</c:v>
                </c:pt>
                <c:pt idx="1245">
                  <c:v>198758.34999999992</c:v>
                </c:pt>
                <c:pt idx="1246">
                  <c:v>197108.34999999992</c:v>
                </c:pt>
                <c:pt idx="1247">
                  <c:v>193608.34999999992</c:v>
                </c:pt>
                <c:pt idx="1248">
                  <c:v>188108.34999999992</c:v>
                </c:pt>
                <c:pt idx="1249">
                  <c:v>185358.34999999992</c:v>
                </c:pt>
                <c:pt idx="1250">
                  <c:v>187358.34999999992</c:v>
                </c:pt>
                <c:pt idx="1251">
                  <c:v>183058.34999999992</c:v>
                </c:pt>
                <c:pt idx="1252">
                  <c:v>177558.34999999992</c:v>
                </c:pt>
                <c:pt idx="1253">
                  <c:v>180558.34999999992</c:v>
                </c:pt>
                <c:pt idx="1254">
                  <c:v>182058.34999999992</c:v>
                </c:pt>
                <c:pt idx="1255">
                  <c:v>185101.82999999993</c:v>
                </c:pt>
                <c:pt idx="1256">
                  <c:v>182101.82999999993</c:v>
                </c:pt>
                <c:pt idx="1257">
                  <c:v>187101.82999999993</c:v>
                </c:pt>
                <c:pt idx="1258">
                  <c:v>190101.82999999993</c:v>
                </c:pt>
                <c:pt idx="1259">
                  <c:v>185701.82999999993</c:v>
                </c:pt>
                <c:pt idx="1260">
                  <c:v>183501.82999999993</c:v>
                </c:pt>
                <c:pt idx="1261">
                  <c:v>183501.82999999993</c:v>
                </c:pt>
                <c:pt idx="1262">
                  <c:v>181001.82999999993</c:v>
                </c:pt>
                <c:pt idx="1263">
                  <c:v>184001.82999999993</c:v>
                </c:pt>
                <c:pt idx="1264">
                  <c:v>186918.49999999994</c:v>
                </c:pt>
                <c:pt idx="1265">
                  <c:v>183618.49999999994</c:v>
                </c:pt>
                <c:pt idx="1266">
                  <c:v>186800.31999999995</c:v>
                </c:pt>
                <c:pt idx="1267">
                  <c:v>185700.31999999995</c:v>
                </c:pt>
                <c:pt idx="1268">
                  <c:v>188700.31999999995</c:v>
                </c:pt>
                <c:pt idx="1269">
                  <c:v>184300.31999999995</c:v>
                </c:pt>
                <c:pt idx="1270">
                  <c:v>189082.92999999993</c:v>
                </c:pt>
                <c:pt idx="1271">
                  <c:v>192082.92999999993</c:v>
                </c:pt>
                <c:pt idx="1272">
                  <c:v>195082.92999999993</c:v>
                </c:pt>
                <c:pt idx="1273">
                  <c:v>198995.96999999994</c:v>
                </c:pt>
                <c:pt idx="1274">
                  <c:v>201995.96999999994</c:v>
                </c:pt>
                <c:pt idx="1275">
                  <c:v>204995.96999999994</c:v>
                </c:pt>
                <c:pt idx="1276">
                  <c:v>209995.96999999994</c:v>
                </c:pt>
                <c:pt idx="1277">
                  <c:v>208995.96999999994</c:v>
                </c:pt>
                <c:pt idx="1278">
                  <c:v>211268.69999999995</c:v>
                </c:pt>
                <c:pt idx="1279">
                  <c:v>208268.69999999995</c:v>
                </c:pt>
                <c:pt idx="1280">
                  <c:v>204968.69999999995</c:v>
                </c:pt>
                <c:pt idx="1281">
                  <c:v>208968.69999999995</c:v>
                </c:pt>
                <c:pt idx="1282">
                  <c:v>211968.69999999995</c:v>
                </c:pt>
                <c:pt idx="1283">
                  <c:v>213273.04999999996</c:v>
                </c:pt>
                <c:pt idx="1284">
                  <c:v>218273.04999999996</c:v>
                </c:pt>
                <c:pt idx="1285">
                  <c:v>213873.04999999996</c:v>
                </c:pt>
                <c:pt idx="1286">
                  <c:v>216873.04999999996</c:v>
                </c:pt>
                <c:pt idx="1287">
                  <c:v>214673.04999999996</c:v>
                </c:pt>
                <c:pt idx="1288">
                  <c:v>218673.04999999996</c:v>
                </c:pt>
                <c:pt idx="1289">
                  <c:v>220673.04999999996</c:v>
                </c:pt>
                <c:pt idx="1290">
                  <c:v>215173.04999999996</c:v>
                </c:pt>
                <c:pt idx="1291">
                  <c:v>211873.04999999996</c:v>
                </c:pt>
                <c:pt idx="1292">
                  <c:v>216873.04999999996</c:v>
                </c:pt>
                <c:pt idx="1293">
                  <c:v>216873.04999999996</c:v>
                </c:pt>
                <c:pt idx="1294">
                  <c:v>214873.04999999996</c:v>
                </c:pt>
                <c:pt idx="1295">
                  <c:v>217873.04999999996</c:v>
                </c:pt>
                <c:pt idx="1296">
                  <c:v>217873.04999999996</c:v>
                </c:pt>
                <c:pt idx="1297">
                  <c:v>213373.04999999996</c:v>
                </c:pt>
                <c:pt idx="1298">
                  <c:v>208973.04999999996</c:v>
                </c:pt>
                <c:pt idx="1299">
                  <c:v>205673.04999999996</c:v>
                </c:pt>
                <c:pt idx="1300">
                  <c:v>201273.04999999996</c:v>
                </c:pt>
                <c:pt idx="1301">
                  <c:v>203273.04999999996</c:v>
                </c:pt>
                <c:pt idx="1302">
                  <c:v>197773.04999999996</c:v>
                </c:pt>
                <c:pt idx="1303">
                  <c:v>194473.04999999996</c:v>
                </c:pt>
                <c:pt idx="1304">
                  <c:v>197549.96999999997</c:v>
                </c:pt>
                <c:pt idx="1305">
                  <c:v>193549.96999999997</c:v>
                </c:pt>
                <c:pt idx="1306">
                  <c:v>192449.96999999997</c:v>
                </c:pt>
                <c:pt idx="1307">
                  <c:v>192449.96999999997</c:v>
                </c:pt>
                <c:pt idx="1308">
                  <c:v>195449.96999999997</c:v>
                </c:pt>
                <c:pt idx="1309">
                  <c:v>198449.96999999997</c:v>
                </c:pt>
                <c:pt idx="1310">
                  <c:v>193949.96999999997</c:v>
                </c:pt>
                <c:pt idx="1311">
                  <c:v>196949.96999999997</c:v>
                </c:pt>
                <c:pt idx="1312">
                  <c:v>200949.96999999997</c:v>
                </c:pt>
                <c:pt idx="1313">
                  <c:v>199949.96999999997</c:v>
                </c:pt>
                <c:pt idx="1314">
                  <c:v>198849.96999999997</c:v>
                </c:pt>
                <c:pt idx="1315">
                  <c:v>203849.96999999997</c:v>
                </c:pt>
                <c:pt idx="1316">
                  <c:v>206849.96999999997</c:v>
                </c:pt>
                <c:pt idx="1317">
                  <c:v>209849.96999999997</c:v>
                </c:pt>
                <c:pt idx="1318">
                  <c:v>212849.96999999997</c:v>
                </c:pt>
                <c:pt idx="1319">
                  <c:v>214849.96999999997</c:v>
                </c:pt>
                <c:pt idx="1320">
                  <c:v>209349.96999999997</c:v>
                </c:pt>
                <c:pt idx="1321">
                  <c:v>213440.87999999998</c:v>
                </c:pt>
                <c:pt idx="1322">
                  <c:v>212440.87999999998</c:v>
                </c:pt>
                <c:pt idx="1323">
                  <c:v>215622.69999999998</c:v>
                </c:pt>
                <c:pt idx="1324">
                  <c:v>219622.69999999998</c:v>
                </c:pt>
                <c:pt idx="1325">
                  <c:v>216322.69999999998</c:v>
                </c:pt>
                <c:pt idx="1326">
                  <c:v>216322.69999999998</c:v>
                </c:pt>
                <c:pt idx="1327">
                  <c:v>220322.69999999998</c:v>
                </c:pt>
                <c:pt idx="1328">
                  <c:v>219322.69999999998</c:v>
                </c:pt>
                <c:pt idx="1329">
                  <c:v>214922.69999999998</c:v>
                </c:pt>
                <c:pt idx="1330">
                  <c:v>213922.69999999998</c:v>
                </c:pt>
                <c:pt idx="1331">
                  <c:v>218922.69999999998</c:v>
                </c:pt>
                <c:pt idx="1332">
                  <c:v>221922.69999999998</c:v>
                </c:pt>
                <c:pt idx="1333">
                  <c:v>225922.69999999998</c:v>
                </c:pt>
                <c:pt idx="1334">
                  <c:v>230013.61</c:v>
                </c:pt>
                <c:pt idx="1335">
                  <c:v>224513.61</c:v>
                </c:pt>
                <c:pt idx="1336">
                  <c:v>221213.61</c:v>
                </c:pt>
                <c:pt idx="1337">
                  <c:v>216713.61</c:v>
                </c:pt>
                <c:pt idx="1338">
                  <c:v>213213.61</c:v>
                </c:pt>
                <c:pt idx="1339">
                  <c:v>208813.61</c:v>
                </c:pt>
                <c:pt idx="1340">
                  <c:v>215138.61</c:v>
                </c:pt>
                <c:pt idx="1341">
                  <c:v>218138.61</c:v>
                </c:pt>
                <c:pt idx="1342">
                  <c:v>221616.87</c:v>
                </c:pt>
                <c:pt idx="1343">
                  <c:v>216116.87</c:v>
                </c:pt>
                <c:pt idx="1344">
                  <c:v>215116.87</c:v>
                </c:pt>
                <c:pt idx="1345">
                  <c:v>219116.87</c:v>
                </c:pt>
                <c:pt idx="1346">
                  <c:v>224116.87</c:v>
                </c:pt>
                <c:pt idx="1347">
                  <c:v>227116.87</c:v>
                </c:pt>
                <c:pt idx="1348">
                  <c:v>223116.87</c:v>
                </c:pt>
                <c:pt idx="1349">
                  <c:v>222016.87</c:v>
                </c:pt>
                <c:pt idx="1350">
                  <c:v>217616.87</c:v>
                </c:pt>
                <c:pt idx="1351">
                  <c:v>214316.87</c:v>
                </c:pt>
                <c:pt idx="1352">
                  <c:v>211016.87</c:v>
                </c:pt>
                <c:pt idx="1353">
                  <c:v>216016.87</c:v>
                </c:pt>
                <c:pt idx="1354">
                  <c:v>214516.87</c:v>
                </c:pt>
                <c:pt idx="1355">
                  <c:v>210116.87</c:v>
                </c:pt>
                <c:pt idx="1356">
                  <c:v>213116.87</c:v>
                </c:pt>
                <c:pt idx="1357">
                  <c:v>217116.87</c:v>
                </c:pt>
                <c:pt idx="1358">
                  <c:v>216116.87</c:v>
                </c:pt>
                <c:pt idx="1359">
                  <c:v>212816.87</c:v>
                </c:pt>
                <c:pt idx="1360">
                  <c:v>208316.87</c:v>
                </c:pt>
                <c:pt idx="1361">
                  <c:v>213316.87</c:v>
                </c:pt>
                <c:pt idx="1362">
                  <c:v>208916.87</c:v>
                </c:pt>
                <c:pt idx="1363">
                  <c:v>212916.87</c:v>
                </c:pt>
                <c:pt idx="1364">
                  <c:v>215416.87</c:v>
                </c:pt>
                <c:pt idx="1365">
                  <c:v>212116.87</c:v>
                </c:pt>
                <c:pt idx="1366">
                  <c:v>207716.87</c:v>
                </c:pt>
                <c:pt idx="1367">
                  <c:v>210716.87</c:v>
                </c:pt>
                <c:pt idx="1368">
                  <c:v>213716.87</c:v>
                </c:pt>
                <c:pt idx="1369">
                  <c:v>209316.87</c:v>
                </c:pt>
                <c:pt idx="1370">
                  <c:v>214316.87</c:v>
                </c:pt>
                <c:pt idx="1371">
                  <c:v>213316.87</c:v>
                </c:pt>
                <c:pt idx="1372">
                  <c:v>211116.87</c:v>
                </c:pt>
                <c:pt idx="1373">
                  <c:v>214033.54</c:v>
                </c:pt>
                <c:pt idx="1374">
                  <c:v>216033.54</c:v>
                </c:pt>
                <c:pt idx="1375">
                  <c:v>211033.54</c:v>
                </c:pt>
                <c:pt idx="1376">
                  <c:v>214033.54</c:v>
                </c:pt>
                <c:pt idx="1377">
                  <c:v>218758.54</c:v>
                </c:pt>
                <c:pt idx="1378">
                  <c:v>214358.54</c:v>
                </c:pt>
                <c:pt idx="1379">
                  <c:v>217358.54</c:v>
                </c:pt>
                <c:pt idx="1380">
                  <c:v>220358.54</c:v>
                </c:pt>
                <c:pt idx="1381">
                  <c:v>224358.54</c:v>
                </c:pt>
                <c:pt idx="1382">
                  <c:v>228358.54</c:v>
                </c:pt>
                <c:pt idx="1383">
                  <c:v>232358.54</c:v>
                </c:pt>
                <c:pt idx="1384">
                  <c:v>234358.54</c:v>
                </c:pt>
                <c:pt idx="1385">
                  <c:v>233258.54</c:v>
                </c:pt>
                <c:pt idx="1386">
                  <c:v>226758.54</c:v>
                </c:pt>
                <c:pt idx="1387">
                  <c:v>221258.54</c:v>
                </c:pt>
                <c:pt idx="1388">
                  <c:v>216858.54</c:v>
                </c:pt>
                <c:pt idx="1389">
                  <c:v>214658.54</c:v>
                </c:pt>
                <c:pt idx="1390">
                  <c:v>211358.54</c:v>
                </c:pt>
                <c:pt idx="1391">
                  <c:v>206958.54</c:v>
                </c:pt>
                <c:pt idx="1392">
                  <c:v>202558.54</c:v>
                </c:pt>
                <c:pt idx="1393">
                  <c:v>199258.54</c:v>
                </c:pt>
                <c:pt idx="1394">
                  <c:v>194858.54</c:v>
                </c:pt>
                <c:pt idx="1395">
                  <c:v>192658.54</c:v>
                </c:pt>
                <c:pt idx="1396">
                  <c:v>189658.54</c:v>
                </c:pt>
                <c:pt idx="1397">
                  <c:v>186658.54</c:v>
                </c:pt>
                <c:pt idx="1398">
                  <c:v>183358.54</c:v>
                </c:pt>
                <c:pt idx="1399">
                  <c:v>177858.54</c:v>
                </c:pt>
                <c:pt idx="1400">
                  <c:v>173858.54</c:v>
                </c:pt>
                <c:pt idx="1401">
                  <c:v>171658.54</c:v>
                </c:pt>
                <c:pt idx="1402">
                  <c:v>175658.54</c:v>
                </c:pt>
                <c:pt idx="1403">
                  <c:v>178658.54</c:v>
                </c:pt>
                <c:pt idx="1404">
                  <c:v>175908.54</c:v>
                </c:pt>
                <c:pt idx="1405">
                  <c:v>179908.54</c:v>
                </c:pt>
                <c:pt idx="1406">
                  <c:v>182908.54</c:v>
                </c:pt>
                <c:pt idx="1407">
                  <c:v>183908.54</c:v>
                </c:pt>
                <c:pt idx="1408">
                  <c:v>178408.54</c:v>
                </c:pt>
                <c:pt idx="1409">
                  <c:v>173908.54</c:v>
                </c:pt>
                <c:pt idx="1410">
                  <c:v>175158.54</c:v>
                </c:pt>
                <c:pt idx="1411">
                  <c:v>178158.54</c:v>
                </c:pt>
                <c:pt idx="1412">
                  <c:v>180158.54</c:v>
                </c:pt>
                <c:pt idx="1413">
                  <c:v>184158.54</c:v>
                </c:pt>
                <c:pt idx="1414">
                  <c:v>182658.54</c:v>
                </c:pt>
                <c:pt idx="1415">
                  <c:v>178258.54</c:v>
                </c:pt>
                <c:pt idx="1416">
                  <c:v>180758.54</c:v>
                </c:pt>
                <c:pt idx="1417">
                  <c:v>183758.54</c:v>
                </c:pt>
                <c:pt idx="1418">
                  <c:v>178258.54</c:v>
                </c:pt>
                <c:pt idx="1419">
                  <c:v>176258.54</c:v>
                </c:pt>
                <c:pt idx="1420">
                  <c:v>180983.54</c:v>
                </c:pt>
                <c:pt idx="1421">
                  <c:v>176483.54</c:v>
                </c:pt>
                <c:pt idx="1422">
                  <c:v>174283.54</c:v>
                </c:pt>
                <c:pt idx="1423">
                  <c:v>170983.54</c:v>
                </c:pt>
                <c:pt idx="1424">
                  <c:v>173983.54</c:v>
                </c:pt>
                <c:pt idx="1425">
                  <c:v>178983.54</c:v>
                </c:pt>
                <c:pt idx="1426">
                  <c:v>174583.54</c:v>
                </c:pt>
                <c:pt idx="1427">
                  <c:v>172383.54</c:v>
                </c:pt>
                <c:pt idx="1428">
                  <c:v>175383.54</c:v>
                </c:pt>
                <c:pt idx="1429">
                  <c:v>178983.54</c:v>
                </c:pt>
                <c:pt idx="1430">
                  <c:v>182027.02000000002</c:v>
                </c:pt>
                <c:pt idx="1431">
                  <c:v>185027.02000000002</c:v>
                </c:pt>
                <c:pt idx="1432">
                  <c:v>190027.02000000002</c:v>
                </c:pt>
                <c:pt idx="1433">
                  <c:v>193027.02000000002</c:v>
                </c:pt>
                <c:pt idx="1434">
                  <c:v>190827.02000000002</c:v>
                </c:pt>
                <c:pt idx="1435">
                  <c:v>189727.02000000002</c:v>
                </c:pt>
                <c:pt idx="1436">
                  <c:v>192627.02000000002</c:v>
                </c:pt>
                <c:pt idx="1437">
                  <c:v>196627.02000000002</c:v>
                </c:pt>
                <c:pt idx="1438">
                  <c:v>198627.02000000002</c:v>
                </c:pt>
                <c:pt idx="1439">
                  <c:v>199627.02000000002</c:v>
                </c:pt>
                <c:pt idx="1440">
                  <c:v>196327.02000000002</c:v>
                </c:pt>
                <c:pt idx="1441">
                  <c:v>199327.02000000002</c:v>
                </c:pt>
                <c:pt idx="1442">
                  <c:v>205762.02000000002</c:v>
                </c:pt>
                <c:pt idx="1443">
                  <c:v>202462.02000000002</c:v>
                </c:pt>
                <c:pt idx="1444">
                  <c:v>205462.02000000002</c:v>
                </c:pt>
                <c:pt idx="1445">
                  <c:v>210462.02000000002</c:v>
                </c:pt>
                <c:pt idx="1446">
                  <c:v>211462.02000000002</c:v>
                </c:pt>
                <c:pt idx="1447">
                  <c:v>216462.02000000002</c:v>
                </c:pt>
                <c:pt idx="1448">
                  <c:v>219462.02000000002</c:v>
                </c:pt>
                <c:pt idx="1449">
                  <c:v>222940.28000000003</c:v>
                </c:pt>
                <c:pt idx="1450">
                  <c:v>220740.28000000003</c:v>
                </c:pt>
                <c:pt idx="1451">
                  <c:v>222740.28000000003</c:v>
                </c:pt>
                <c:pt idx="1452">
                  <c:v>217240.28000000003</c:v>
                </c:pt>
                <c:pt idx="1453">
                  <c:v>213940.28000000003</c:v>
                </c:pt>
                <c:pt idx="1454">
                  <c:v>209540.28000000003</c:v>
                </c:pt>
                <c:pt idx="1455">
                  <c:v>214123.61000000002</c:v>
                </c:pt>
                <c:pt idx="1456">
                  <c:v>214123.61000000002</c:v>
                </c:pt>
                <c:pt idx="1457">
                  <c:v>217123.61000000002</c:v>
                </c:pt>
                <c:pt idx="1458">
                  <c:v>219123.61000000002</c:v>
                </c:pt>
                <c:pt idx="1459">
                  <c:v>215823.61000000002</c:v>
                </c:pt>
                <c:pt idx="1460">
                  <c:v>217823.61000000002</c:v>
                </c:pt>
                <c:pt idx="1461">
                  <c:v>221823.61000000002</c:v>
                </c:pt>
                <c:pt idx="1462">
                  <c:v>220823.61000000002</c:v>
                </c:pt>
                <c:pt idx="1463">
                  <c:v>225823.61000000002</c:v>
                </c:pt>
                <c:pt idx="1464">
                  <c:v>222523.61000000002</c:v>
                </c:pt>
                <c:pt idx="1465">
                  <c:v>219223.61000000002</c:v>
                </c:pt>
                <c:pt idx="1466">
                  <c:v>214823.61000000002</c:v>
                </c:pt>
                <c:pt idx="1467">
                  <c:v>217823.61000000002</c:v>
                </c:pt>
                <c:pt idx="1468">
                  <c:v>213423.61000000002</c:v>
                </c:pt>
                <c:pt idx="1469">
                  <c:v>217336.65000000002</c:v>
                </c:pt>
                <c:pt idx="1470">
                  <c:v>218336.65000000002</c:v>
                </c:pt>
                <c:pt idx="1471">
                  <c:v>222336.65000000002</c:v>
                </c:pt>
                <c:pt idx="1472">
                  <c:v>225336.65000000002</c:v>
                </c:pt>
                <c:pt idx="1473">
                  <c:v>228336.65000000002</c:v>
                </c:pt>
                <c:pt idx="1474">
                  <c:v>222836.65000000002</c:v>
                </c:pt>
                <c:pt idx="1475">
                  <c:v>224836.65000000002</c:v>
                </c:pt>
                <c:pt idx="1476">
                  <c:v>221836.65000000002</c:v>
                </c:pt>
                <c:pt idx="1477">
                  <c:v>217436.65000000002</c:v>
                </c:pt>
                <c:pt idx="1478">
                  <c:v>211936.65000000002</c:v>
                </c:pt>
                <c:pt idx="1479">
                  <c:v>210936.65000000002</c:v>
                </c:pt>
                <c:pt idx="1480">
                  <c:v>214936.65000000002</c:v>
                </c:pt>
                <c:pt idx="1481">
                  <c:v>212186.65000000002</c:v>
                </c:pt>
                <c:pt idx="1482">
                  <c:v>208886.65000000002</c:v>
                </c:pt>
                <c:pt idx="1483">
                  <c:v>205886.65000000002</c:v>
                </c:pt>
                <c:pt idx="1484">
                  <c:v>210886.65000000002</c:v>
                </c:pt>
                <c:pt idx="1485">
                  <c:v>211886.65000000002</c:v>
                </c:pt>
                <c:pt idx="1486">
                  <c:v>210786.65000000002</c:v>
                </c:pt>
                <c:pt idx="1487">
                  <c:v>215569.26</c:v>
                </c:pt>
                <c:pt idx="1488">
                  <c:v>218569.26</c:v>
                </c:pt>
                <c:pt idx="1489">
                  <c:v>213069.26</c:v>
                </c:pt>
                <c:pt idx="1490">
                  <c:v>214069.26</c:v>
                </c:pt>
                <c:pt idx="1491">
                  <c:v>208569.26</c:v>
                </c:pt>
                <c:pt idx="1492">
                  <c:v>204169.26</c:v>
                </c:pt>
                <c:pt idx="1493">
                  <c:v>199669.26</c:v>
                </c:pt>
                <c:pt idx="1494">
                  <c:v>198669.26</c:v>
                </c:pt>
                <c:pt idx="1495">
                  <c:v>203669.26</c:v>
                </c:pt>
                <c:pt idx="1496">
                  <c:v>206669.26</c:v>
                </c:pt>
                <c:pt idx="1497">
                  <c:v>211669.26</c:v>
                </c:pt>
                <c:pt idx="1498">
                  <c:v>208169.26</c:v>
                </c:pt>
                <c:pt idx="1499">
                  <c:v>213169.26</c:v>
                </c:pt>
                <c:pt idx="1500">
                  <c:v>214169.26</c:v>
                </c:pt>
                <c:pt idx="1501">
                  <c:v>215169.26</c:v>
                </c:pt>
                <c:pt idx="1502">
                  <c:v>210769.26</c:v>
                </c:pt>
                <c:pt idx="1503">
                  <c:v>212769.26</c:v>
                </c:pt>
                <c:pt idx="1504">
                  <c:v>212769.26</c:v>
                </c:pt>
                <c:pt idx="1505">
                  <c:v>215769.26</c:v>
                </c:pt>
                <c:pt idx="1506">
                  <c:v>213569.26</c:v>
                </c:pt>
                <c:pt idx="1507">
                  <c:v>208069.26</c:v>
                </c:pt>
                <c:pt idx="1508">
                  <c:v>212069.26</c:v>
                </c:pt>
                <c:pt idx="1509">
                  <c:v>214069.26</c:v>
                </c:pt>
                <c:pt idx="1510">
                  <c:v>219409.07</c:v>
                </c:pt>
                <c:pt idx="1511">
                  <c:v>218309.07</c:v>
                </c:pt>
                <c:pt idx="1512">
                  <c:v>216109.07</c:v>
                </c:pt>
                <c:pt idx="1513">
                  <c:v>211709.07</c:v>
                </c:pt>
                <c:pt idx="1514">
                  <c:v>210609.07</c:v>
                </c:pt>
                <c:pt idx="1515">
                  <c:v>213942.39999999999</c:v>
                </c:pt>
                <c:pt idx="1516">
                  <c:v>210642.4</c:v>
                </c:pt>
                <c:pt idx="1517">
                  <c:v>213642.4</c:v>
                </c:pt>
                <c:pt idx="1518">
                  <c:v>216642.4</c:v>
                </c:pt>
                <c:pt idx="1519">
                  <c:v>221642.4</c:v>
                </c:pt>
                <c:pt idx="1520">
                  <c:v>223642.4</c:v>
                </c:pt>
                <c:pt idx="1521">
                  <c:v>219242.4</c:v>
                </c:pt>
                <c:pt idx="1522">
                  <c:v>214842.4</c:v>
                </c:pt>
                <c:pt idx="1523">
                  <c:v>209342.4</c:v>
                </c:pt>
                <c:pt idx="1524">
                  <c:v>204942.4</c:v>
                </c:pt>
                <c:pt idx="1525">
                  <c:v>201642.4</c:v>
                </c:pt>
                <c:pt idx="1526">
                  <c:v>197242.4</c:v>
                </c:pt>
                <c:pt idx="1527">
                  <c:v>195042.4</c:v>
                </c:pt>
                <c:pt idx="1528">
                  <c:v>199392.4</c:v>
                </c:pt>
                <c:pt idx="1529">
                  <c:v>201892.4</c:v>
                </c:pt>
                <c:pt idx="1530">
                  <c:v>206892.4</c:v>
                </c:pt>
                <c:pt idx="1531">
                  <c:v>210892.4</c:v>
                </c:pt>
                <c:pt idx="1532">
                  <c:v>212492.4</c:v>
                </c:pt>
                <c:pt idx="1533">
                  <c:v>214992.4</c:v>
                </c:pt>
                <c:pt idx="1534">
                  <c:v>218992.4</c:v>
                </c:pt>
                <c:pt idx="1535">
                  <c:v>213492.4</c:v>
                </c:pt>
                <c:pt idx="1536">
                  <c:v>212392.4</c:v>
                </c:pt>
                <c:pt idx="1537">
                  <c:v>209092.4</c:v>
                </c:pt>
                <c:pt idx="1538">
                  <c:v>203592.4</c:v>
                </c:pt>
                <c:pt idx="1539">
                  <c:v>203112.4</c:v>
                </c:pt>
                <c:pt idx="1540">
                  <c:v>199112.4</c:v>
                </c:pt>
                <c:pt idx="1541">
                  <c:v>196112.4</c:v>
                </c:pt>
                <c:pt idx="1542">
                  <c:v>199112.4</c:v>
                </c:pt>
                <c:pt idx="1543">
                  <c:v>195812.4</c:v>
                </c:pt>
                <c:pt idx="1544">
                  <c:v>199812.4</c:v>
                </c:pt>
                <c:pt idx="1545">
                  <c:v>200812.4</c:v>
                </c:pt>
                <c:pt idx="1546">
                  <c:v>204812.4</c:v>
                </c:pt>
                <c:pt idx="1547">
                  <c:v>209812.4</c:v>
                </c:pt>
                <c:pt idx="1548">
                  <c:v>208712.4</c:v>
                </c:pt>
                <c:pt idx="1549">
                  <c:v>205412.4</c:v>
                </c:pt>
                <c:pt idx="1550">
                  <c:v>202112.4</c:v>
                </c:pt>
                <c:pt idx="1551">
                  <c:v>202112.4</c:v>
                </c:pt>
                <c:pt idx="1552">
                  <c:v>197712.4</c:v>
                </c:pt>
                <c:pt idx="1553">
                  <c:v>195512.4</c:v>
                </c:pt>
                <c:pt idx="1554">
                  <c:v>191012.4</c:v>
                </c:pt>
                <c:pt idx="1555">
                  <c:v>187712.4</c:v>
                </c:pt>
                <c:pt idx="1556">
                  <c:v>188712.4</c:v>
                </c:pt>
                <c:pt idx="1557">
                  <c:v>185412.4</c:v>
                </c:pt>
                <c:pt idx="1558">
                  <c:v>188412.4</c:v>
                </c:pt>
                <c:pt idx="1559">
                  <c:v>186212.4</c:v>
                </c:pt>
                <c:pt idx="1560">
                  <c:v>180712.4</c:v>
                </c:pt>
                <c:pt idx="1561">
                  <c:v>177412.4</c:v>
                </c:pt>
                <c:pt idx="1562">
                  <c:v>182412.4</c:v>
                </c:pt>
                <c:pt idx="1563">
                  <c:v>185412.4</c:v>
                </c:pt>
                <c:pt idx="1564">
                  <c:v>181012.4</c:v>
                </c:pt>
                <c:pt idx="1565">
                  <c:v>185012.4</c:v>
                </c:pt>
                <c:pt idx="1566">
                  <c:v>189012.4</c:v>
                </c:pt>
                <c:pt idx="1567">
                  <c:v>186812.4</c:v>
                </c:pt>
                <c:pt idx="1568">
                  <c:v>189812.4</c:v>
                </c:pt>
                <c:pt idx="1569">
                  <c:v>194812.4</c:v>
                </c:pt>
                <c:pt idx="1570">
                  <c:v>196812.4</c:v>
                </c:pt>
                <c:pt idx="1571">
                  <c:v>200812.4</c:v>
                </c:pt>
                <c:pt idx="1572">
                  <c:v>201812.4</c:v>
                </c:pt>
                <c:pt idx="1573">
                  <c:v>198512.4</c:v>
                </c:pt>
                <c:pt idx="1574">
                  <c:v>202512.4</c:v>
                </c:pt>
                <c:pt idx="1575">
                  <c:v>207512.4</c:v>
                </c:pt>
                <c:pt idx="1576">
                  <c:v>211512.4</c:v>
                </c:pt>
                <c:pt idx="1577">
                  <c:v>215798.11</c:v>
                </c:pt>
                <c:pt idx="1578">
                  <c:v>215798.11</c:v>
                </c:pt>
                <c:pt idx="1579">
                  <c:v>216707.19999999998</c:v>
                </c:pt>
                <c:pt idx="1580">
                  <c:v>213407.19999999998</c:v>
                </c:pt>
                <c:pt idx="1581">
                  <c:v>218407.19999999998</c:v>
                </c:pt>
                <c:pt idx="1582">
                  <c:v>222407.19999999998</c:v>
                </c:pt>
                <c:pt idx="1583">
                  <c:v>225407.19999999998</c:v>
                </c:pt>
                <c:pt idx="1584">
                  <c:v>229407.19999999998</c:v>
                </c:pt>
                <c:pt idx="1585">
                  <c:v>227207.19999999998</c:v>
                </c:pt>
                <c:pt idx="1586">
                  <c:v>232207.19999999998</c:v>
                </c:pt>
                <c:pt idx="1587">
                  <c:v>235207.19999999998</c:v>
                </c:pt>
                <c:pt idx="1588">
                  <c:v>231907.19999999998</c:v>
                </c:pt>
                <c:pt idx="1589">
                  <c:v>228607.19999999998</c:v>
                </c:pt>
                <c:pt idx="1590">
                  <c:v>224207.19999999998</c:v>
                </c:pt>
                <c:pt idx="1591">
                  <c:v>218707.19999999998</c:v>
                </c:pt>
                <c:pt idx="1592">
                  <c:v>223907.19999999998</c:v>
                </c:pt>
                <c:pt idx="1593">
                  <c:v>227907.19999999998</c:v>
                </c:pt>
                <c:pt idx="1594">
                  <c:v>228907.19999999998</c:v>
                </c:pt>
                <c:pt idx="1595">
                  <c:v>231907.19999999998</c:v>
                </c:pt>
                <c:pt idx="1596">
                  <c:v>234907.19999999998</c:v>
                </c:pt>
                <c:pt idx="1597">
                  <c:v>237907.19999999998</c:v>
                </c:pt>
                <c:pt idx="1598">
                  <c:v>240032.19999999998</c:v>
                </c:pt>
                <c:pt idx="1599">
                  <c:v>236732.19999999998</c:v>
                </c:pt>
                <c:pt idx="1600">
                  <c:v>231232.19999999998</c:v>
                </c:pt>
                <c:pt idx="1601">
                  <c:v>228232.19999999998</c:v>
                </c:pt>
                <c:pt idx="1602">
                  <c:v>231232.19999999998</c:v>
                </c:pt>
                <c:pt idx="1603">
                  <c:v>236232.19999999998</c:v>
                </c:pt>
                <c:pt idx="1604">
                  <c:v>240232.19999999998</c:v>
                </c:pt>
                <c:pt idx="1605">
                  <c:v>236232.19999999998</c:v>
                </c:pt>
                <c:pt idx="1606">
                  <c:v>240232.19999999998</c:v>
                </c:pt>
                <c:pt idx="1607">
                  <c:v>235832.19999999998</c:v>
                </c:pt>
                <c:pt idx="1608">
                  <c:v>238832.19999999998</c:v>
                </c:pt>
                <c:pt idx="1609">
                  <c:v>234332.19999999998</c:v>
                </c:pt>
                <c:pt idx="1610">
                  <c:v>233232.19999999998</c:v>
                </c:pt>
                <c:pt idx="1611">
                  <c:v>237232.19999999998</c:v>
                </c:pt>
                <c:pt idx="1612">
                  <c:v>240232.19999999998</c:v>
                </c:pt>
                <c:pt idx="1613">
                  <c:v>245232.19999999998</c:v>
                </c:pt>
                <c:pt idx="1614">
                  <c:v>249282.19999999998</c:v>
                </c:pt>
                <c:pt idx="1615">
                  <c:v>243782.19999999998</c:v>
                </c:pt>
                <c:pt idx="1616">
                  <c:v>247082.19999999998</c:v>
                </c:pt>
                <c:pt idx="1617">
                  <c:v>243782.19999999998</c:v>
                </c:pt>
                <c:pt idx="1618">
                  <c:v>247782.19999999998</c:v>
                </c:pt>
                <c:pt idx="1619">
                  <c:v>243382.19999999998</c:v>
                </c:pt>
                <c:pt idx="1620">
                  <c:v>240082.19999999998</c:v>
                </c:pt>
                <c:pt idx="1621">
                  <c:v>240082.19999999998</c:v>
                </c:pt>
                <c:pt idx="1622">
                  <c:v>243082.19999999998</c:v>
                </c:pt>
                <c:pt idx="1623">
                  <c:v>240882.19999999998</c:v>
                </c:pt>
                <c:pt idx="1624">
                  <c:v>241882.19999999998</c:v>
                </c:pt>
                <c:pt idx="1625">
                  <c:v>244882.19999999998</c:v>
                </c:pt>
                <c:pt idx="1626">
                  <c:v>247882.19999999998</c:v>
                </c:pt>
                <c:pt idx="1627">
                  <c:v>247382.19999999998</c:v>
                </c:pt>
                <c:pt idx="1628">
                  <c:v>249382.19999999998</c:v>
                </c:pt>
                <c:pt idx="1629">
                  <c:v>243882.19999999998</c:v>
                </c:pt>
                <c:pt idx="1630">
                  <c:v>239482.19999999998</c:v>
                </c:pt>
                <c:pt idx="1631">
                  <c:v>236182.19999999998</c:v>
                </c:pt>
                <c:pt idx="1632">
                  <c:v>233982.19999999998</c:v>
                </c:pt>
                <c:pt idx="1633">
                  <c:v>229582.19999999998</c:v>
                </c:pt>
                <c:pt idx="1634">
                  <c:v>224082.19999999998</c:v>
                </c:pt>
                <c:pt idx="1635">
                  <c:v>228082.19999999998</c:v>
                </c:pt>
                <c:pt idx="1636">
                  <c:v>225082.19999999998</c:v>
                </c:pt>
                <c:pt idx="1637">
                  <c:v>220682.19999999998</c:v>
                </c:pt>
                <c:pt idx="1638">
                  <c:v>224682.19999999998</c:v>
                </c:pt>
                <c:pt idx="1639">
                  <c:v>226682.19999999998</c:v>
                </c:pt>
                <c:pt idx="1640">
                  <c:v>230682.19999999998</c:v>
                </c:pt>
                <c:pt idx="1641">
                  <c:v>234015.52999999997</c:v>
                </c:pt>
                <c:pt idx="1642">
                  <c:v>230715.52999999997</c:v>
                </c:pt>
                <c:pt idx="1643">
                  <c:v>228515.52999999997</c:v>
                </c:pt>
                <c:pt idx="1644">
                  <c:v>223015.52999999997</c:v>
                </c:pt>
                <c:pt idx="1645">
                  <c:v>224015.52999999997</c:v>
                </c:pt>
                <c:pt idx="1646">
                  <c:v>218515.52999999997</c:v>
                </c:pt>
                <c:pt idx="1647">
                  <c:v>214115.52999999997</c:v>
                </c:pt>
                <c:pt idx="1648">
                  <c:v>210815.52999999997</c:v>
                </c:pt>
                <c:pt idx="1649">
                  <c:v>206415.52999999997</c:v>
                </c:pt>
                <c:pt idx="1650">
                  <c:v>203115.52999999997</c:v>
                </c:pt>
                <c:pt idx="1651">
                  <c:v>206356.26999999996</c:v>
                </c:pt>
                <c:pt idx="1652">
                  <c:v>207356.26999999996</c:v>
                </c:pt>
                <c:pt idx="1653">
                  <c:v>211356.26999999996</c:v>
                </c:pt>
                <c:pt idx="1654">
                  <c:v>206956.26999999996</c:v>
                </c:pt>
                <c:pt idx="1655">
                  <c:v>204756.26999999996</c:v>
                </c:pt>
                <c:pt idx="1656">
                  <c:v>200356.26999999996</c:v>
                </c:pt>
                <c:pt idx="1657">
                  <c:v>194856.26999999996</c:v>
                </c:pt>
                <c:pt idx="1658">
                  <c:v>199856.26999999996</c:v>
                </c:pt>
                <c:pt idx="1659">
                  <c:v>203189.59999999995</c:v>
                </c:pt>
                <c:pt idx="1660">
                  <c:v>206189.59999999995</c:v>
                </c:pt>
                <c:pt idx="1661">
                  <c:v>210189.59999999995</c:v>
                </c:pt>
                <c:pt idx="1662">
                  <c:v>207989.59999999995</c:v>
                </c:pt>
                <c:pt idx="1663">
                  <c:v>204689.59999999995</c:v>
                </c:pt>
                <c:pt idx="1664">
                  <c:v>200289.59999999995</c:v>
                </c:pt>
                <c:pt idx="1665">
                  <c:v>194789.59999999995</c:v>
                </c:pt>
                <c:pt idx="1666">
                  <c:v>193689.59999999995</c:v>
                </c:pt>
                <c:pt idx="1667">
                  <c:v>188189.59999999995</c:v>
                </c:pt>
                <c:pt idx="1668">
                  <c:v>191332.45999999993</c:v>
                </c:pt>
                <c:pt idx="1669">
                  <c:v>198532.45999999993</c:v>
                </c:pt>
                <c:pt idx="1670">
                  <c:v>201532.45999999993</c:v>
                </c:pt>
                <c:pt idx="1671">
                  <c:v>202532.45999999993</c:v>
                </c:pt>
                <c:pt idx="1672">
                  <c:v>203532.45999999993</c:v>
                </c:pt>
                <c:pt idx="1673">
                  <c:v>199132.45999999993</c:v>
                </c:pt>
                <c:pt idx="1674">
                  <c:v>202132.45999999993</c:v>
                </c:pt>
                <c:pt idx="1675">
                  <c:v>198832.45999999993</c:v>
                </c:pt>
                <c:pt idx="1676">
                  <c:v>202832.45999999993</c:v>
                </c:pt>
                <c:pt idx="1677">
                  <c:v>197332.45999999993</c:v>
                </c:pt>
                <c:pt idx="1678">
                  <c:v>195132.45999999993</c:v>
                </c:pt>
                <c:pt idx="1679">
                  <c:v>199132.45999999993</c:v>
                </c:pt>
                <c:pt idx="1680">
                  <c:v>193632.45999999993</c:v>
                </c:pt>
                <c:pt idx="1681">
                  <c:v>190332.45999999993</c:v>
                </c:pt>
                <c:pt idx="1682">
                  <c:v>188132.45999999993</c:v>
                </c:pt>
                <c:pt idx="1683">
                  <c:v>186132.45999999993</c:v>
                </c:pt>
                <c:pt idx="1684">
                  <c:v>189132.45999999993</c:v>
                </c:pt>
                <c:pt idx="1685">
                  <c:v>185832.45999999993</c:v>
                </c:pt>
                <c:pt idx="1686">
                  <c:v>184732.45999999993</c:v>
                </c:pt>
                <c:pt idx="1687">
                  <c:v>186732.45999999993</c:v>
                </c:pt>
                <c:pt idx="1688">
                  <c:v>188732.45999999993</c:v>
                </c:pt>
                <c:pt idx="1689">
                  <c:v>193732.45999999993</c:v>
                </c:pt>
                <c:pt idx="1690">
                  <c:v>196732.45999999993</c:v>
                </c:pt>
                <c:pt idx="1691">
                  <c:v>200732.45999999993</c:v>
                </c:pt>
                <c:pt idx="1692">
                  <c:v>203809.37999999995</c:v>
                </c:pt>
                <c:pt idx="1693">
                  <c:v>207142.70999999993</c:v>
                </c:pt>
                <c:pt idx="1694">
                  <c:v>201642.70999999993</c:v>
                </c:pt>
                <c:pt idx="1695">
                  <c:v>197242.70999999993</c:v>
                </c:pt>
                <c:pt idx="1696">
                  <c:v>198242.70999999993</c:v>
                </c:pt>
                <c:pt idx="1697">
                  <c:v>201542.70999999993</c:v>
                </c:pt>
                <c:pt idx="1698">
                  <c:v>203730.20999999993</c:v>
                </c:pt>
                <c:pt idx="1699">
                  <c:v>208275.65999999995</c:v>
                </c:pt>
                <c:pt idx="1700">
                  <c:v>207175.65999999995</c:v>
                </c:pt>
                <c:pt idx="1701">
                  <c:v>211175.65999999995</c:v>
                </c:pt>
                <c:pt idx="1702">
                  <c:v>214125.65999999995</c:v>
                </c:pt>
                <c:pt idx="1703">
                  <c:v>210825.65999999995</c:v>
                </c:pt>
                <c:pt idx="1704">
                  <c:v>207825.65999999995</c:v>
                </c:pt>
                <c:pt idx="1705">
                  <c:v>210825.65999999995</c:v>
                </c:pt>
                <c:pt idx="1706">
                  <c:v>208625.65999999995</c:v>
                </c:pt>
                <c:pt idx="1707">
                  <c:v>204225.65999999995</c:v>
                </c:pt>
                <c:pt idx="1708">
                  <c:v>208225.65999999995</c:v>
                </c:pt>
                <c:pt idx="1709">
                  <c:v>207125.65999999995</c:v>
                </c:pt>
                <c:pt idx="1710">
                  <c:v>201625.65999999995</c:v>
                </c:pt>
                <c:pt idx="1711">
                  <c:v>204625.65999999995</c:v>
                </c:pt>
                <c:pt idx="1712">
                  <c:v>209208.98999999993</c:v>
                </c:pt>
                <c:pt idx="1713">
                  <c:v>205908.98999999993</c:v>
                </c:pt>
                <c:pt idx="1714">
                  <c:v>208908.98999999993</c:v>
                </c:pt>
                <c:pt idx="1715">
                  <c:v>203408.98999999993</c:v>
                </c:pt>
                <c:pt idx="1716">
                  <c:v>202308.98999999993</c:v>
                </c:pt>
                <c:pt idx="1717">
                  <c:v>206308.98999999993</c:v>
                </c:pt>
                <c:pt idx="1718">
                  <c:v>203008.98999999993</c:v>
                </c:pt>
                <c:pt idx="1719">
                  <c:v>197508.98999999993</c:v>
                </c:pt>
                <c:pt idx="1720">
                  <c:v>200508.98999999993</c:v>
                </c:pt>
                <c:pt idx="1721">
                  <c:v>203508.98999999993</c:v>
                </c:pt>
                <c:pt idx="1722">
                  <c:v>206508.98999999993</c:v>
                </c:pt>
                <c:pt idx="1723">
                  <c:v>205408.98999999993</c:v>
                </c:pt>
                <c:pt idx="1724">
                  <c:v>209408.98999999993</c:v>
                </c:pt>
                <c:pt idx="1725">
                  <c:v>207208.98999999993</c:v>
                </c:pt>
                <c:pt idx="1726">
                  <c:v>210208.98999999993</c:v>
                </c:pt>
                <c:pt idx="1727">
                  <c:v>214408.98999999993</c:v>
                </c:pt>
                <c:pt idx="1728">
                  <c:v>215408.98999999993</c:v>
                </c:pt>
                <c:pt idx="1729">
                  <c:v>218408.98999999993</c:v>
                </c:pt>
                <c:pt idx="1730">
                  <c:v>215108.98999999993</c:v>
                </c:pt>
                <c:pt idx="1731">
                  <c:v>220108.98999999993</c:v>
                </c:pt>
                <c:pt idx="1732">
                  <c:v>223290.80999999994</c:v>
                </c:pt>
                <c:pt idx="1733">
                  <c:v>224290.80999999994</c:v>
                </c:pt>
                <c:pt idx="1734">
                  <c:v>228290.80999999994</c:v>
                </c:pt>
                <c:pt idx="1735">
                  <c:v>232290.80999999994</c:v>
                </c:pt>
                <c:pt idx="1736">
                  <c:v>228990.80999999994</c:v>
                </c:pt>
                <c:pt idx="1737">
                  <c:v>224590.80999999994</c:v>
                </c:pt>
                <c:pt idx="1738">
                  <c:v>222390.80999999994</c:v>
                </c:pt>
                <c:pt idx="1739">
                  <c:v>224390.80999999994</c:v>
                </c:pt>
                <c:pt idx="1740">
                  <c:v>229390.80999999994</c:v>
                </c:pt>
                <c:pt idx="1741">
                  <c:v>232015.80999999994</c:v>
                </c:pt>
                <c:pt idx="1742">
                  <c:v>234015.80999999994</c:v>
                </c:pt>
                <c:pt idx="1743">
                  <c:v>239015.80999999994</c:v>
                </c:pt>
                <c:pt idx="1744">
                  <c:v>234615.80999999994</c:v>
                </c:pt>
                <c:pt idx="1745">
                  <c:v>237615.80999999994</c:v>
                </c:pt>
                <c:pt idx="1746">
                  <c:v>240615.80999999994</c:v>
                </c:pt>
                <c:pt idx="1747">
                  <c:v>240115.80999999994</c:v>
                </c:pt>
                <c:pt idx="1748">
                  <c:v>244115.80999999994</c:v>
                </c:pt>
                <c:pt idx="1749">
                  <c:v>245115.80999999994</c:v>
                </c:pt>
                <c:pt idx="1750">
                  <c:v>250115.80999999994</c:v>
                </c:pt>
                <c:pt idx="1751">
                  <c:v>253115.80999999994</c:v>
                </c:pt>
                <c:pt idx="1752">
                  <c:v>256115.80999999994</c:v>
                </c:pt>
                <c:pt idx="1753">
                  <c:v>252815.80999999994</c:v>
                </c:pt>
                <c:pt idx="1754">
                  <c:v>251715.80999999994</c:v>
                </c:pt>
                <c:pt idx="1755">
                  <c:v>256715.80999999994</c:v>
                </c:pt>
                <c:pt idx="1756">
                  <c:v>259715.80999999994</c:v>
                </c:pt>
                <c:pt idx="1757">
                  <c:v>264715.80999999994</c:v>
                </c:pt>
                <c:pt idx="1758">
                  <c:v>267715.80999999994</c:v>
                </c:pt>
                <c:pt idx="1759">
                  <c:v>263315.80999999994</c:v>
                </c:pt>
                <c:pt idx="1760">
                  <c:v>258915.80999999994</c:v>
                </c:pt>
                <c:pt idx="1761">
                  <c:v>254515.80999999994</c:v>
                </c:pt>
                <c:pt idx="1762">
                  <c:v>257515.80999999994</c:v>
                </c:pt>
                <c:pt idx="1763">
                  <c:v>261515.80999999994</c:v>
                </c:pt>
                <c:pt idx="1764">
                  <c:v>262515.80999999994</c:v>
                </c:pt>
                <c:pt idx="1765">
                  <c:v>258115.80999999994</c:v>
                </c:pt>
                <c:pt idx="1766">
                  <c:v>262115.80999999994</c:v>
                </c:pt>
                <c:pt idx="1767">
                  <c:v>265115.80999999994</c:v>
                </c:pt>
                <c:pt idx="1768">
                  <c:v>269115.80999999994</c:v>
                </c:pt>
                <c:pt idx="1769">
                  <c:v>272240.80999999994</c:v>
                </c:pt>
                <c:pt idx="1770">
                  <c:v>275240.80999999994</c:v>
                </c:pt>
                <c:pt idx="1771">
                  <c:v>270840.80999999994</c:v>
                </c:pt>
                <c:pt idx="1772">
                  <c:v>275840.80999999994</c:v>
                </c:pt>
                <c:pt idx="1773">
                  <c:v>277924.13999999996</c:v>
                </c:pt>
                <c:pt idx="1774">
                  <c:v>282924.13999999996</c:v>
                </c:pt>
                <c:pt idx="1775">
                  <c:v>283924.13999999996</c:v>
                </c:pt>
                <c:pt idx="1776">
                  <c:v>279524.13999999996</c:v>
                </c:pt>
                <c:pt idx="1777">
                  <c:v>283524.13999999996</c:v>
                </c:pt>
                <c:pt idx="1778">
                  <c:v>279124.13999999996</c:v>
                </c:pt>
                <c:pt idx="1779">
                  <c:v>281124.13999999996</c:v>
                </c:pt>
                <c:pt idx="1780">
                  <c:v>278924.13999999996</c:v>
                </c:pt>
                <c:pt idx="1781">
                  <c:v>282257.46999999997</c:v>
                </c:pt>
                <c:pt idx="1782">
                  <c:v>277857.46999999997</c:v>
                </c:pt>
                <c:pt idx="1783">
                  <c:v>272357.46999999997</c:v>
                </c:pt>
                <c:pt idx="1784">
                  <c:v>274357.46999999997</c:v>
                </c:pt>
                <c:pt idx="1785">
                  <c:v>275357.46999999997</c:v>
                </c:pt>
                <c:pt idx="1786">
                  <c:v>272857.46999999997</c:v>
                </c:pt>
                <c:pt idx="1787">
                  <c:v>267357.46999999997</c:v>
                </c:pt>
                <c:pt idx="1788">
                  <c:v>270357.46999999997</c:v>
                </c:pt>
                <c:pt idx="1789">
                  <c:v>275357.46999999997</c:v>
                </c:pt>
                <c:pt idx="1790">
                  <c:v>270957.46999999997</c:v>
                </c:pt>
                <c:pt idx="1791">
                  <c:v>275957.46999999997</c:v>
                </c:pt>
                <c:pt idx="1792">
                  <c:v>272657.46999999997</c:v>
                </c:pt>
                <c:pt idx="1793">
                  <c:v>269357.46999999997</c:v>
                </c:pt>
                <c:pt idx="1794">
                  <c:v>269357.46999999997</c:v>
                </c:pt>
                <c:pt idx="1795">
                  <c:v>273057.46999999997</c:v>
                </c:pt>
                <c:pt idx="1796">
                  <c:v>278057.46999999997</c:v>
                </c:pt>
                <c:pt idx="1797">
                  <c:v>272557.46999999997</c:v>
                </c:pt>
                <c:pt idx="1798">
                  <c:v>269257.46999999997</c:v>
                </c:pt>
                <c:pt idx="1799">
                  <c:v>263757.46999999997</c:v>
                </c:pt>
                <c:pt idx="1800">
                  <c:v>267757.46999999997</c:v>
                </c:pt>
                <c:pt idx="1801">
                  <c:v>269757.46999999997</c:v>
                </c:pt>
                <c:pt idx="1802">
                  <c:v>268757.46999999997</c:v>
                </c:pt>
                <c:pt idx="1803">
                  <c:v>270297.46999999997</c:v>
                </c:pt>
                <c:pt idx="1804">
                  <c:v>271167.46999999997</c:v>
                </c:pt>
                <c:pt idx="1805">
                  <c:v>268167.46999999997</c:v>
                </c:pt>
                <c:pt idx="1806">
                  <c:v>264867.46999999997</c:v>
                </c:pt>
                <c:pt idx="1807">
                  <c:v>261567.46999999997</c:v>
                </c:pt>
                <c:pt idx="1808">
                  <c:v>260467.46999999997</c:v>
                </c:pt>
                <c:pt idx="1809">
                  <c:v>254967.46999999997</c:v>
                </c:pt>
                <c:pt idx="1810">
                  <c:v>258967.46999999997</c:v>
                </c:pt>
                <c:pt idx="1811">
                  <c:v>259967.46999999997</c:v>
                </c:pt>
                <c:pt idx="1812">
                  <c:v>262967.46999999997</c:v>
                </c:pt>
                <c:pt idx="1813">
                  <c:v>258567.46999999997</c:v>
                </c:pt>
                <c:pt idx="1814">
                  <c:v>262567.46999999997</c:v>
                </c:pt>
                <c:pt idx="1815">
                  <c:v>265567.46999999997</c:v>
                </c:pt>
                <c:pt idx="1816">
                  <c:v>262267.46999999997</c:v>
                </c:pt>
                <c:pt idx="1817">
                  <c:v>258967.46999999997</c:v>
                </c:pt>
                <c:pt idx="1818">
                  <c:v>261967.46999999997</c:v>
                </c:pt>
                <c:pt idx="1819">
                  <c:v>259767.46999999997</c:v>
                </c:pt>
                <c:pt idx="1820">
                  <c:v>260767.46999999997</c:v>
                </c:pt>
                <c:pt idx="1821">
                  <c:v>257467.46999999997</c:v>
                </c:pt>
                <c:pt idx="1822">
                  <c:v>256367.46999999997</c:v>
                </c:pt>
                <c:pt idx="1823">
                  <c:v>261367.46999999997</c:v>
                </c:pt>
                <c:pt idx="1824">
                  <c:v>256967.46999999997</c:v>
                </c:pt>
                <c:pt idx="1825">
                  <c:v>254217.46999999997</c:v>
                </c:pt>
                <c:pt idx="1826">
                  <c:v>257217.46999999997</c:v>
                </c:pt>
                <c:pt idx="1827">
                  <c:v>260217.46999999997</c:v>
                </c:pt>
                <c:pt idx="1828">
                  <c:v>262217.46999999997</c:v>
                </c:pt>
                <c:pt idx="1829">
                  <c:v>267217.46999999997</c:v>
                </c:pt>
                <c:pt idx="1830">
                  <c:v>266117.46999999997</c:v>
                </c:pt>
                <c:pt idx="1831">
                  <c:v>263117.46999999997</c:v>
                </c:pt>
                <c:pt idx="1832">
                  <c:v>260917.46999999997</c:v>
                </c:pt>
                <c:pt idx="1833">
                  <c:v>264917.46999999997</c:v>
                </c:pt>
                <c:pt idx="1834">
                  <c:v>266735.64999999997</c:v>
                </c:pt>
                <c:pt idx="1835">
                  <c:v>271735.64999999997</c:v>
                </c:pt>
                <c:pt idx="1836">
                  <c:v>274885.64999999997</c:v>
                </c:pt>
                <c:pt idx="1837">
                  <c:v>273885.64999999997</c:v>
                </c:pt>
                <c:pt idx="1838">
                  <c:v>275885.64999999997</c:v>
                </c:pt>
                <c:pt idx="1839">
                  <c:v>281440.64999999997</c:v>
                </c:pt>
                <c:pt idx="1840">
                  <c:v>284440.64999999997</c:v>
                </c:pt>
                <c:pt idx="1841">
                  <c:v>283340.64999999997</c:v>
                </c:pt>
                <c:pt idx="1842">
                  <c:v>280040.64999999997</c:v>
                </c:pt>
                <c:pt idx="1843">
                  <c:v>283040.64999999997</c:v>
                </c:pt>
                <c:pt idx="1844">
                  <c:v>280840.64999999997</c:v>
                </c:pt>
                <c:pt idx="1845">
                  <c:v>277540.64999999997</c:v>
                </c:pt>
                <c:pt idx="1846">
                  <c:v>274240.64999999997</c:v>
                </c:pt>
                <c:pt idx="1847">
                  <c:v>276513.37999999995</c:v>
                </c:pt>
                <c:pt idx="1848">
                  <c:v>281513.37999999995</c:v>
                </c:pt>
                <c:pt idx="1849">
                  <c:v>278513.37999999995</c:v>
                </c:pt>
                <c:pt idx="1850">
                  <c:v>281240.64999999997</c:v>
                </c:pt>
                <c:pt idx="1851">
                  <c:v>283513.37999999995</c:v>
                </c:pt>
                <c:pt idx="1852">
                  <c:v>287513.37999999995</c:v>
                </c:pt>
                <c:pt idx="1853">
                  <c:v>290513.37999999995</c:v>
                </c:pt>
                <c:pt idx="1854">
                  <c:v>287213.37999999995</c:v>
                </c:pt>
                <c:pt idx="1855">
                  <c:v>282713.37999999995</c:v>
                </c:pt>
                <c:pt idx="1856">
                  <c:v>284813.37999999995</c:v>
                </c:pt>
                <c:pt idx="1857">
                  <c:v>287313.37999999995</c:v>
                </c:pt>
                <c:pt idx="1858">
                  <c:v>286313.37999999995</c:v>
                </c:pt>
                <c:pt idx="1859">
                  <c:v>283013.37999999995</c:v>
                </c:pt>
                <c:pt idx="1860">
                  <c:v>281013.37999999995</c:v>
                </c:pt>
                <c:pt idx="1861">
                  <c:v>277713.37999999995</c:v>
                </c:pt>
                <c:pt idx="1862">
                  <c:v>280713.37999999995</c:v>
                </c:pt>
                <c:pt idx="1863">
                  <c:v>282713.37999999995</c:v>
                </c:pt>
                <c:pt idx="1864">
                  <c:v>277213.37999999995</c:v>
                </c:pt>
                <c:pt idx="1865">
                  <c:v>271713.37999999995</c:v>
                </c:pt>
                <c:pt idx="1866">
                  <c:v>273452.50999999995</c:v>
                </c:pt>
                <c:pt idx="1867">
                  <c:v>270152.50999999995</c:v>
                </c:pt>
                <c:pt idx="1868">
                  <c:v>266652.50999999995</c:v>
                </c:pt>
                <c:pt idx="1869">
                  <c:v>264452.50999999995</c:v>
                </c:pt>
                <c:pt idx="1870">
                  <c:v>267495.98999999993</c:v>
                </c:pt>
                <c:pt idx="1871">
                  <c:v>267495.98999999993</c:v>
                </c:pt>
                <c:pt idx="1872">
                  <c:v>270495.98999999993</c:v>
                </c:pt>
                <c:pt idx="1873">
                  <c:v>264995.98999999993</c:v>
                </c:pt>
                <c:pt idx="1874">
                  <c:v>267995.98999999993</c:v>
                </c:pt>
                <c:pt idx="1875">
                  <c:v>271995.98999999993</c:v>
                </c:pt>
                <c:pt idx="1876">
                  <c:v>269795.98999999993</c:v>
                </c:pt>
                <c:pt idx="1877">
                  <c:v>272938.84999999992</c:v>
                </c:pt>
                <c:pt idx="1878">
                  <c:v>276688.84999999992</c:v>
                </c:pt>
                <c:pt idx="1879">
                  <c:v>275588.84999999992</c:v>
                </c:pt>
                <c:pt idx="1880">
                  <c:v>278588.84999999992</c:v>
                </c:pt>
                <c:pt idx="1881">
                  <c:v>281588.84999999992</c:v>
                </c:pt>
                <c:pt idx="1882">
                  <c:v>277188.84999999992</c:v>
                </c:pt>
                <c:pt idx="1883">
                  <c:v>281188.84999999992</c:v>
                </c:pt>
                <c:pt idx="1884">
                  <c:v>281188.84999999992</c:v>
                </c:pt>
                <c:pt idx="1885">
                  <c:v>286188.84999999992</c:v>
                </c:pt>
                <c:pt idx="1886">
                  <c:v>282888.84999999992</c:v>
                </c:pt>
                <c:pt idx="1887">
                  <c:v>285888.84999999992</c:v>
                </c:pt>
                <c:pt idx="1888">
                  <c:v>287888.84999999992</c:v>
                </c:pt>
                <c:pt idx="1889">
                  <c:v>290888.84999999992</c:v>
                </c:pt>
                <c:pt idx="1890">
                  <c:v>292888.84999999992</c:v>
                </c:pt>
                <c:pt idx="1891">
                  <c:v>291788.84999999992</c:v>
                </c:pt>
                <c:pt idx="1892">
                  <c:v>293788.84999999992</c:v>
                </c:pt>
                <c:pt idx="1893">
                  <c:v>292788.84999999992</c:v>
                </c:pt>
                <c:pt idx="1894">
                  <c:v>287288.84999999992</c:v>
                </c:pt>
                <c:pt idx="1895">
                  <c:v>289288.84999999992</c:v>
                </c:pt>
                <c:pt idx="1896">
                  <c:v>292438.84999999992</c:v>
                </c:pt>
                <c:pt idx="1897">
                  <c:v>289138.84999999992</c:v>
                </c:pt>
                <c:pt idx="1898">
                  <c:v>293138.84999999992</c:v>
                </c:pt>
                <c:pt idx="1899">
                  <c:v>289138.84999999992</c:v>
                </c:pt>
                <c:pt idx="1900">
                  <c:v>288138.84999999992</c:v>
                </c:pt>
                <c:pt idx="1901">
                  <c:v>285938.84999999992</c:v>
                </c:pt>
                <c:pt idx="1902">
                  <c:v>282638.84999999992</c:v>
                </c:pt>
                <c:pt idx="1903">
                  <c:v>277138.84999999992</c:v>
                </c:pt>
                <c:pt idx="1904">
                  <c:v>272738.84999999992</c:v>
                </c:pt>
                <c:pt idx="1905">
                  <c:v>275738.84999999992</c:v>
                </c:pt>
                <c:pt idx="1906">
                  <c:v>273538.84999999992</c:v>
                </c:pt>
                <c:pt idx="1907">
                  <c:v>276538.84999999992</c:v>
                </c:pt>
                <c:pt idx="1908">
                  <c:v>275438.84999999992</c:v>
                </c:pt>
                <c:pt idx="1909">
                  <c:v>272138.84999999992</c:v>
                </c:pt>
                <c:pt idx="1910">
                  <c:v>266638.84999999992</c:v>
                </c:pt>
                <c:pt idx="1911">
                  <c:v>269972.17999999993</c:v>
                </c:pt>
                <c:pt idx="1912">
                  <c:v>268972.17999999993</c:v>
                </c:pt>
                <c:pt idx="1913">
                  <c:v>264572.17999999993</c:v>
                </c:pt>
                <c:pt idx="1914">
                  <c:v>260172.17999999993</c:v>
                </c:pt>
                <c:pt idx="1915">
                  <c:v>259072.17999999993</c:v>
                </c:pt>
                <c:pt idx="1916">
                  <c:v>256872.17999999993</c:v>
                </c:pt>
                <c:pt idx="1917">
                  <c:v>253572.17999999993</c:v>
                </c:pt>
                <c:pt idx="1918">
                  <c:v>248072.17999999993</c:v>
                </c:pt>
                <c:pt idx="1919">
                  <c:v>251072.17999999993</c:v>
                </c:pt>
                <c:pt idx="1920">
                  <c:v>256072.17999999993</c:v>
                </c:pt>
                <c:pt idx="1921">
                  <c:v>250572.17999999993</c:v>
                </c:pt>
                <c:pt idx="1922">
                  <c:v>255572.17999999993</c:v>
                </c:pt>
                <c:pt idx="1923">
                  <c:v>253072.17999999993</c:v>
                </c:pt>
                <c:pt idx="1924">
                  <c:v>249772.17999999993</c:v>
                </c:pt>
                <c:pt idx="1925">
                  <c:v>254772.17999999993</c:v>
                </c:pt>
                <c:pt idx="1926">
                  <c:v>251472.17999999993</c:v>
                </c:pt>
                <c:pt idx="1927">
                  <c:v>248172.17999999993</c:v>
                </c:pt>
                <c:pt idx="1928">
                  <c:v>244872.17999999993</c:v>
                </c:pt>
                <c:pt idx="1929">
                  <c:v>242672.17999999993</c:v>
                </c:pt>
                <c:pt idx="1930">
                  <c:v>244672.17999999993</c:v>
                </c:pt>
                <c:pt idx="1931">
                  <c:v>249672.17999999993</c:v>
                </c:pt>
                <c:pt idx="1932">
                  <c:v>253672.17999999993</c:v>
                </c:pt>
                <c:pt idx="1933">
                  <c:v>250372.17999999993</c:v>
                </c:pt>
                <c:pt idx="1934">
                  <c:v>244872.17999999993</c:v>
                </c:pt>
                <c:pt idx="1935">
                  <c:v>245872.17999999993</c:v>
                </c:pt>
                <c:pt idx="1936">
                  <c:v>249872.17999999993</c:v>
                </c:pt>
                <c:pt idx="1937">
                  <c:v>252872.17999999993</c:v>
                </c:pt>
                <c:pt idx="1938">
                  <c:v>249572.17999999993</c:v>
                </c:pt>
                <c:pt idx="1939">
                  <c:v>252572.17999999993</c:v>
                </c:pt>
                <c:pt idx="1940">
                  <c:v>255488.84999999995</c:v>
                </c:pt>
                <c:pt idx="1941">
                  <c:v>255488.84999999995</c:v>
                </c:pt>
                <c:pt idx="1942">
                  <c:v>260488.84999999995</c:v>
                </c:pt>
                <c:pt idx="1943">
                  <c:v>263488.84999999998</c:v>
                </c:pt>
                <c:pt idx="1944">
                  <c:v>265488.84999999998</c:v>
                </c:pt>
                <c:pt idx="1945">
                  <c:v>267888.84999999998</c:v>
                </c:pt>
                <c:pt idx="1946">
                  <c:v>263488.84999999998</c:v>
                </c:pt>
                <c:pt idx="1947">
                  <c:v>267488.84999999998</c:v>
                </c:pt>
                <c:pt idx="1948">
                  <c:v>267488.84999999998</c:v>
                </c:pt>
                <c:pt idx="1949">
                  <c:v>261988.84999999998</c:v>
                </c:pt>
                <c:pt idx="1950">
                  <c:v>266988.84999999998</c:v>
                </c:pt>
                <c:pt idx="1951">
                  <c:v>270988.84999999998</c:v>
                </c:pt>
                <c:pt idx="1952">
                  <c:v>267688.84999999998</c:v>
                </c:pt>
                <c:pt idx="1953">
                  <c:v>262188.84999999998</c:v>
                </c:pt>
                <c:pt idx="1954">
                  <c:v>263188.84999999998</c:v>
                </c:pt>
                <c:pt idx="1955">
                  <c:v>268188.84999999998</c:v>
                </c:pt>
                <c:pt idx="1956">
                  <c:v>271188.84999999998</c:v>
                </c:pt>
                <c:pt idx="1957">
                  <c:v>267888.84999999998</c:v>
                </c:pt>
                <c:pt idx="1958">
                  <c:v>271888.84999999998</c:v>
                </c:pt>
                <c:pt idx="1959">
                  <c:v>275888.84999999998</c:v>
                </c:pt>
                <c:pt idx="1960">
                  <c:v>278888.84999999998</c:v>
                </c:pt>
                <c:pt idx="1961">
                  <c:v>280888.84999999998</c:v>
                </c:pt>
                <c:pt idx="1962">
                  <c:v>283888.84999999998</c:v>
                </c:pt>
                <c:pt idx="1963">
                  <c:v>278388.84999999998</c:v>
                </c:pt>
                <c:pt idx="1964">
                  <c:v>277288.84999999998</c:v>
                </c:pt>
                <c:pt idx="1965">
                  <c:v>273988.84999999998</c:v>
                </c:pt>
                <c:pt idx="1966">
                  <c:v>270688.84999999998</c:v>
                </c:pt>
                <c:pt idx="1967">
                  <c:v>266688.84999999998</c:v>
                </c:pt>
                <c:pt idx="1968">
                  <c:v>267688.84999999998</c:v>
                </c:pt>
                <c:pt idx="1969">
                  <c:v>270688.84999999998</c:v>
                </c:pt>
                <c:pt idx="1970">
                  <c:v>275688.84999999998</c:v>
                </c:pt>
                <c:pt idx="1971">
                  <c:v>279688.84999999998</c:v>
                </c:pt>
                <c:pt idx="1972">
                  <c:v>282688.84999999998</c:v>
                </c:pt>
                <c:pt idx="1973">
                  <c:v>283688.84999999998</c:v>
                </c:pt>
                <c:pt idx="1974">
                  <c:v>279288.84999999998</c:v>
                </c:pt>
                <c:pt idx="1975">
                  <c:v>275988.84999999998</c:v>
                </c:pt>
                <c:pt idx="1976">
                  <c:v>279988.84999999998</c:v>
                </c:pt>
                <c:pt idx="1977">
                  <c:v>282188.84999999998</c:v>
                </c:pt>
                <c:pt idx="1978">
                  <c:v>283188.84999999998</c:v>
                </c:pt>
                <c:pt idx="1979">
                  <c:v>280188.84999999998</c:v>
                </c:pt>
                <c:pt idx="1980">
                  <c:v>276888.84999999998</c:v>
                </c:pt>
                <c:pt idx="1981">
                  <c:v>271388.84999999998</c:v>
                </c:pt>
                <c:pt idx="1982">
                  <c:v>268088.84999999998</c:v>
                </c:pt>
                <c:pt idx="1983">
                  <c:v>265888.84999999998</c:v>
                </c:pt>
                <c:pt idx="1984">
                  <c:v>268888.84999999998</c:v>
                </c:pt>
                <c:pt idx="1985">
                  <c:v>265588.84999999998</c:v>
                </c:pt>
                <c:pt idx="1986">
                  <c:v>262288.84999999998</c:v>
                </c:pt>
                <c:pt idx="1987">
                  <c:v>263288.84999999998</c:v>
                </c:pt>
                <c:pt idx="1988">
                  <c:v>265288.84999999998</c:v>
                </c:pt>
                <c:pt idx="1989">
                  <c:v>268288.84999999998</c:v>
                </c:pt>
                <c:pt idx="1990">
                  <c:v>272288.84999999998</c:v>
                </c:pt>
                <c:pt idx="1991">
                  <c:v>266788.84999999998</c:v>
                </c:pt>
                <c:pt idx="1992">
                  <c:v>264588.84999999998</c:v>
                </c:pt>
                <c:pt idx="1993">
                  <c:v>266588.84999999998</c:v>
                </c:pt>
                <c:pt idx="1994">
                  <c:v>263288.84999999998</c:v>
                </c:pt>
                <c:pt idx="1995">
                  <c:v>257788.84999999998</c:v>
                </c:pt>
                <c:pt idx="1996">
                  <c:v>260788.84999999998</c:v>
                </c:pt>
                <c:pt idx="1997">
                  <c:v>257788.84999999998</c:v>
                </c:pt>
                <c:pt idx="1998">
                  <c:v>254488.84999999998</c:v>
                </c:pt>
                <c:pt idx="1999">
                  <c:v>257488.84999999998</c:v>
                </c:pt>
                <c:pt idx="2000">
                  <c:v>254188.84999999998</c:v>
                </c:pt>
                <c:pt idx="2001">
                  <c:v>250888.84999999998</c:v>
                </c:pt>
                <c:pt idx="2002">
                  <c:v>247588.84999999998</c:v>
                </c:pt>
                <c:pt idx="2003">
                  <c:v>242088.84999999998</c:v>
                </c:pt>
                <c:pt idx="2004">
                  <c:v>242088.84999999998</c:v>
                </c:pt>
                <c:pt idx="2005">
                  <c:v>236588.84999999998</c:v>
                </c:pt>
                <c:pt idx="2006">
                  <c:v>237588.84999999998</c:v>
                </c:pt>
                <c:pt idx="2007">
                  <c:v>242588.84999999998</c:v>
                </c:pt>
                <c:pt idx="2008">
                  <c:v>238588.84999999998</c:v>
                </c:pt>
                <c:pt idx="2009">
                  <c:v>234188.84999999998</c:v>
                </c:pt>
                <c:pt idx="2010">
                  <c:v>231188.84999999998</c:v>
                </c:pt>
                <c:pt idx="2011">
                  <c:v>227888.84999999998</c:v>
                </c:pt>
                <c:pt idx="2012">
                  <c:v>225688.84999999998</c:v>
                </c:pt>
                <c:pt idx="2013">
                  <c:v>228605.52</c:v>
                </c:pt>
                <c:pt idx="2014">
                  <c:v>225305.52</c:v>
                </c:pt>
                <c:pt idx="2015">
                  <c:v>229305.52</c:v>
                </c:pt>
                <c:pt idx="2016">
                  <c:v>223805.52</c:v>
                </c:pt>
                <c:pt idx="2017">
                  <c:v>219405.52</c:v>
                </c:pt>
                <c:pt idx="2018">
                  <c:v>221405.52</c:v>
                </c:pt>
                <c:pt idx="2019">
                  <c:v>220405.52</c:v>
                </c:pt>
                <c:pt idx="2020">
                  <c:v>223405.52</c:v>
                </c:pt>
                <c:pt idx="2021">
                  <c:v>221205.52</c:v>
                </c:pt>
                <c:pt idx="2022">
                  <c:v>217905.52</c:v>
                </c:pt>
                <c:pt idx="2023">
                  <c:v>221905.52</c:v>
                </c:pt>
                <c:pt idx="2024">
                  <c:v>226905.52</c:v>
                </c:pt>
                <c:pt idx="2025">
                  <c:v>223605.52</c:v>
                </c:pt>
                <c:pt idx="2026">
                  <c:v>222505.52</c:v>
                </c:pt>
                <c:pt idx="2027">
                  <c:v>224505.52</c:v>
                </c:pt>
                <c:pt idx="2028">
                  <c:v>221205.52</c:v>
                </c:pt>
                <c:pt idx="2029">
                  <c:v>221205.52</c:v>
                </c:pt>
                <c:pt idx="2030">
                  <c:v>226205.52</c:v>
                </c:pt>
                <c:pt idx="2031">
                  <c:v>228205.52</c:v>
                </c:pt>
                <c:pt idx="2032">
                  <c:v>228205.52</c:v>
                </c:pt>
                <c:pt idx="2033">
                  <c:v>228205.52</c:v>
                </c:pt>
                <c:pt idx="2034">
                  <c:v>233205.52</c:v>
                </c:pt>
                <c:pt idx="2035">
                  <c:v>229905.52</c:v>
                </c:pt>
                <c:pt idx="2036">
                  <c:v>233905.52</c:v>
                </c:pt>
                <c:pt idx="2037">
                  <c:v>234905.52</c:v>
                </c:pt>
                <c:pt idx="2038">
                  <c:v>239905.52</c:v>
                </c:pt>
                <c:pt idx="2039">
                  <c:v>235505.52</c:v>
                </c:pt>
                <c:pt idx="2040">
                  <c:v>238505.52</c:v>
                </c:pt>
                <c:pt idx="2041">
                  <c:v>243505.52</c:v>
                </c:pt>
                <c:pt idx="2042">
                  <c:v>248785.52</c:v>
                </c:pt>
                <c:pt idx="2043">
                  <c:v>253785.52</c:v>
                </c:pt>
                <c:pt idx="2044">
                  <c:v>256512.78999999998</c:v>
                </c:pt>
                <c:pt idx="2045">
                  <c:v>259112.78999999998</c:v>
                </c:pt>
                <c:pt idx="2046">
                  <c:v>255812.78999999998</c:v>
                </c:pt>
                <c:pt idx="2047">
                  <c:v>252512.78999999998</c:v>
                </c:pt>
                <c:pt idx="2048">
                  <c:v>255694.61</c:v>
                </c:pt>
                <c:pt idx="2049">
                  <c:v>260694.61</c:v>
                </c:pt>
                <c:pt idx="2050">
                  <c:v>258494.61</c:v>
                </c:pt>
                <c:pt idx="2051">
                  <c:v>257394.61</c:v>
                </c:pt>
                <c:pt idx="2052">
                  <c:v>254094.61</c:v>
                </c:pt>
                <c:pt idx="2053">
                  <c:v>251894.61</c:v>
                </c:pt>
                <c:pt idx="2054">
                  <c:v>247494.61</c:v>
                </c:pt>
                <c:pt idx="2055">
                  <c:v>241994.61</c:v>
                </c:pt>
                <c:pt idx="2056">
                  <c:v>244994.61</c:v>
                </c:pt>
                <c:pt idx="2057">
                  <c:v>238494.61</c:v>
                </c:pt>
                <c:pt idx="2058">
                  <c:v>243494.61</c:v>
                </c:pt>
                <c:pt idx="2059">
                  <c:v>240194.61</c:v>
                </c:pt>
                <c:pt idx="2060">
                  <c:v>234794.61</c:v>
                </c:pt>
                <c:pt idx="2061">
                  <c:v>238794.61</c:v>
                </c:pt>
                <c:pt idx="2062">
                  <c:v>239794.61</c:v>
                </c:pt>
                <c:pt idx="2063">
                  <c:v>237594.61</c:v>
                </c:pt>
                <c:pt idx="2064">
                  <c:v>234294.61</c:v>
                </c:pt>
                <c:pt idx="2065">
                  <c:v>234294.61</c:v>
                </c:pt>
                <c:pt idx="2066">
                  <c:v>239294.61</c:v>
                </c:pt>
                <c:pt idx="2067">
                  <c:v>242294.61</c:v>
                </c:pt>
                <c:pt idx="2068">
                  <c:v>238994.61</c:v>
                </c:pt>
                <c:pt idx="2069">
                  <c:v>241994.61</c:v>
                </c:pt>
                <c:pt idx="2070">
                  <c:v>244994.61</c:v>
                </c:pt>
                <c:pt idx="2071">
                  <c:v>240994.61</c:v>
                </c:pt>
                <c:pt idx="2072">
                  <c:v>235494.61</c:v>
                </c:pt>
                <c:pt idx="2073">
                  <c:v>238494.61</c:v>
                </c:pt>
                <c:pt idx="2074">
                  <c:v>243494.61</c:v>
                </c:pt>
                <c:pt idx="2075">
                  <c:v>248494.61</c:v>
                </c:pt>
                <c:pt idx="2076">
                  <c:v>252494.61</c:v>
                </c:pt>
                <c:pt idx="2077">
                  <c:v>257494.61</c:v>
                </c:pt>
                <c:pt idx="2078">
                  <c:v>260411.28</c:v>
                </c:pt>
                <c:pt idx="2079">
                  <c:v>261411.28</c:v>
                </c:pt>
                <c:pt idx="2080">
                  <c:v>266411.28000000003</c:v>
                </c:pt>
                <c:pt idx="2081">
                  <c:v>268381.28000000003</c:v>
                </c:pt>
                <c:pt idx="2082">
                  <c:v>264881.28000000003</c:v>
                </c:pt>
                <c:pt idx="2083">
                  <c:v>266881.28000000003</c:v>
                </c:pt>
                <c:pt idx="2084">
                  <c:v>268881.28000000003</c:v>
                </c:pt>
                <c:pt idx="2085">
                  <c:v>269881.28000000003</c:v>
                </c:pt>
                <c:pt idx="2086">
                  <c:v>267681.28000000003</c:v>
                </c:pt>
                <c:pt idx="2087">
                  <c:v>268681.28000000003</c:v>
                </c:pt>
                <c:pt idx="2088">
                  <c:v>272681.28000000003</c:v>
                </c:pt>
                <c:pt idx="2089">
                  <c:v>267181.28000000003</c:v>
                </c:pt>
                <c:pt idx="2090">
                  <c:v>267181.28000000003</c:v>
                </c:pt>
                <c:pt idx="2091">
                  <c:v>270181.28000000003</c:v>
                </c:pt>
                <c:pt idx="2092">
                  <c:v>274181.28000000003</c:v>
                </c:pt>
                <c:pt idx="2093">
                  <c:v>277181.28000000003</c:v>
                </c:pt>
                <c:pt idx="2094">
                  <c:v>280181.28000000003</c:v>
                </c:pt>
                <c:pt idx="2095">
                  <c:v>282181.28000000003</c:v>
                </c:pt>
                <c:pt idx="2096">
                  <c:v>277781.28000000003</c:v>
                </c:pt>
                <c:pt idx="2097">
                  <c:v>276681.28000000003</c:v>
                </c:pt>
                <c:pt idx="2098">
                  <c:v>276181.28000000003</c:v>
                </c:pt>
                <c:pt idx="2099">
                  <c:v>281181.28000000003</c:v>
                </c:pt>
                <c:pt idx="2100">
                  <c:v>277881.28000000003</c:v>
                </c:pt>
                <c:pt idx="2101">
                  <c:v>274581.28000000003</c:v>
                </c:pt>
                <c:pt idx="2102">
                  <c:v>278581.28000000003</c:v>
                </c:pt>
                <c:pt idx="2103">
                  <c:v>280581.28000000003</c:v>
                </c:pt>
                <c:pt idx="2104">
                  <c:v>278381.28000000003</c:v>
                </c:pt>
                <c:pt idx="2105">
                  <c:v>273981.28000000003</c:v>
                </c:pt>
                <c:pt idx="2106">
                  <c:v>278981.28000000003</c:v>
                </c:pt>
                <c:pt idx="2107">
                  <c:v>275681.28000000003</c:v>
                </c:pt>
                <c:pt idx="2108">
                  <c:v>274681.28000000003</c:v>
                </c:pt>
                <c:pt idx="2109">
                  <c:v>276681.28000000003</c:v>
                </c:pt>
                <c:pt idx="2110">
                  <c:v>274481.28000000003</c:v>
                </c:pt>
                <c:pt idx="2111">
                  <c:v>271181.28000000003</c:v>
                </c:pt>
                <c:pt idx="2112">
                  <c:v>267881.28000000003</c:v>
                </c:pt>
                <c:pt idx="2113">
                  <c:v>265681.28000000003</c:v>
                </c:pt>
                <c:pt idx="2114">
                  <c:v>266681.28000000003</c:v>
                </c:pt>
                <c:pt idx="2115">
                  <c:v>263381.28000000003</c:v>
                </c:pt>
                <c:pt idx="2116">
                  <c:v>258981.28000000003</c:v>
                </c:pt>
                <c:pt idx="2117">
                  <c:v>262981.28000000003</c:v>
                </c:pt>
                <c:pt idx="2118">
                  <c:v>259681.28000000003</c:v>
                </c:pt>
                <c:pt idx="2119">
                  <c:v>261681.28000000003</c:v>
                </c:pt>
                <c:pt idx="2120">
                  <c:v>266681.28000000003</c:v>
                </c:pt>
                <c:pt idx="2121">
                  <c:v>263681.28000000003</c:v>
                </c:pt>
                <c:pt idx="2122">
                  <c:v>265681.28000000003</c:v>
                </c:pt>
                <c:pt idx="2123">
                  <c:v>270681.28000000003</c:v>
                </c:pt>
                <c:pt idx="2124">
                  <c:v>272954.28000000003</c:v>
                </c:pt>
                <c:pt idx="2125">
                  <c:v>275954.28000000003</c:v>
                </c:pt>
                <c:pt idx="2126">
                  <c:v>272654.28000000003</c:v>
                </c:pt>
                <c:pt idx="2127">
                  <c:v>269354.28000000003</c:v>
                </c:pt>
                <c:pt idx="2128">
                  <c:v>267154.28000000003</c:v>
                </c:pt>
                <c:pt idx="2129">
                  <c:v>268154.28000000003</c:v>
                </c:pt>
                <c:pt idx="2130">
                  <c:v>262654.28000000003</c:v>
                </c:pt>
                <c:pt idx="2131">
                  <c:v>266654.28000000003</c:v>
                </c:pt>
                <c:pt idx="2132">
                  <c:v>264454.28000000003</c:v>
                </c:pt>
                <c:pt idx="2133">
                  <c:v>268454.28000000003</c:v>
                </c:pt>
                <c:pt idx="2134">
                  <c:v>266254.28000000003</c:v>
                </c:pt>
                <c:pt idx="2135">
                  <c:v>269254.28000000003</c:v>
                </c:pt>
                <c:pt idx="2136">
                  <c:v>268254.28000000003</c:v>
                </c:pt>
                <c:pt idx="2137">
                  <c:v>262754.28000000003</c:v>
                </c:pt>
                <c:pt idx="2138">
                  <c:v>258354.28000000003</c:v>
                </c:pt>
                <c:pt idx="2139">
                  <c:v>261354.28000000003</c:v>
                </c:pt>
                <c:pt idx="2140">
                  <c:v>262354.28000000003</c:v>
                </c:pt>
                <c:pt idx="2141">
                  <c:v>260154.28000000003</c:v>
                </c:pt>
                <c:pt idx="2142">
                  <c:v>261154.28000000003</c:v>
                </c:pt>
                <c:pt idx="2143">
                  <c:v>258154.28000000003</c:v>
                </c:pt>
                <c:pt idx="2144">
                  <c:v>263154.28000000003</c:v>
                </c:pt>
                <c:pt idx="2145">
                  <c:v>260954.28000000003</c:v>
                </c:pt>
                <c:pt idx="2146">
                  <c:v>256554.28000000003</c:v>
                </c:pt>
                <c:pt idx="2147">
                  <c:v>252154.28000000003</c:v>
                </c:pt>
                <c:pt idx="2148">
                  <c:v>255154.28000000003</c:v>
                </c:pt>
                <c:pt idx="2149">
                  <c:v>251854.28000000003</c:v>
                </c:pt>
                <c:pt idx="2150">
                  <c:v>247454.28000000003</c:v>
                </c:pt>
                <c:pt idx="2151">
                  <c:v>241954.28000000003</c:v>
                </c:pt>
                <c:pt idx="2152">
                  <c:v>244954.28000000003</c:v>
                </c:pt>
                <c:pt idx="2153">
                  <c:v>246954.28000000003</c:v>
                </c:pt>
                <c:pt idx="2154">
                  <c:v>250704.28000000003</c:v>
                </c:pt>
                <c:pt idx="2155">
                  <c:v>251704.28000000003</c:v>
                </c:pt>
                <c:pt idx="2156">
                  <c:v>249504.28000000003</c:v>
                </c:pt>
                <c:pt idx="2157">
                  <c:v>245104.28000000003</c:v>
                </c:pt>
                <c:pt idx="2158">
                  <c:v>240704.28000000003</c:v>
                </c:pt>
                <c:pt idx="2159">
                  <c:v>245704.28000000003</c:v>
                </c:pt>
                <c:pt idx="2160">
                  <c:v>241304.28000000003</c:v>
                </c:pt>
                <c:pt idx="2161">
                  <c:v>244304.28000000003</c:v>
                </c:pt>
                <c:pt idx="2162">
                  <c:v>242104.28000000003</c:v>
                </c:pt>
                <c:pt idx="2163">
                  <c:v>239904.28000000003</c:v>
                </c:pt>
                <c:pt idx="2164">
                  <c:v>234404.28000000003</c:v>
                </c:pt>
                <c:pt idx="2165">
                  <c:v>239404.28000000003</c:v>
                </c:pt>
                <c:pt idx="2166">
                  <c:v>236104.28000000003</c:v>
                </c:pt>
                <c:pt idx="2167">
                  <c:v>233904.28000000003</c:v>
                </c:pt>
                <c:pt idx="2168">
                  <c:v>230604.28000000003</c:v>
                </c:pt>
                <c:pt idx="2169">
                  <c:v>233604.28000000003</c:v>
                </c:pt>
                <c:pt idx="2170">
                  <c:v>234604.28000000003</c:v>
                </c:pt>
                <c:pt idx="2171">
                  <c:v>239604.28000000003</c:v>
                </c:pt>
                <c:pt idx="2172">
                  <c:v>237404.28000000003</c:v>
                </c:pt>
                <c:pt idx="2173">
                  <c:v>240404.28000000003</c:v>
                </c:pt>
                <c:pt idx="2174">
                  <c:v>243404.28000000003</c:v>
                </c:pt>
                <c:pt idx="2175">
                  <c:v>248404.28000000003</c:v>
                </c:pt>
                <c:pt idx="2176">
                  <c:v>245104.28000000003</c:v>
                </c:pt>
                <c:pt idx="2177">
                  <c:v>248104.28000000003</c:v>
                </c:pt>
                <c:pt idx="2178">
                  <c:v>251104.28000000003</c:v>
                </c:pt>
                <c:pt idx="2179">
                  <c:v>248604.28000000003</c:v>
                </c:pt>
                <c:pt idx="2180">
                  <c:v>243104.28000000003</c:v>
                </c:pt>
                <c:pt idx="2181">
                  <c:v>247004.28000000003</c:v>
                </c:pt>
                <c:pt idx="2182">
                  <c:v>251004.28000000003</c:v>
                </c:pt>
                <c:pt idx="2183">
                  <c:v>253079.28000000003</c:v>
                </c:pt>
                <c:pt idx="2184">
                  <c:v>254079.28000000003</c:v>
                </c:pt>
                <c:pt idx="2185">
                  <c:v>251879.28000000003</c:v>
                </c:pt>
                <c:pt idx="2186">
                  <c:v>254879.28000000003</c:v>
                </c:pt>
                <c:pt idx="2187">
                  <c:v>253879.28000000003</c:v>
                </c:pt>
                <c:pt idx="2188">
                  <c:v>256879.28000000003</c:v>
                </c:pt>
                <c:pt idx="2189">
                  <c:v>263754.28000000003</c:v>
                </c:pt>
                <c:pt idx="2190">
                  <c:v>266754.28000000003</c:v>
                </c:pt>
                <c:pt idx="2191">
                  <c:v>268754.28000000003</c:v>
                </c:pt>
                <c:pt idx="2192">
                  <c:v>270754.28000000003</c:v>
                </c:pt>
                <c:pt idx="2193">
                  <c:v>267454.28000000003</c:v>
                </c:pt>
                <c:pt idx="2194">
                  <c:v>268454.28000000003</c:v>
                </c:pt>
                <c:pt idx="2195">
                  <c:v>265154.28000000003</c:v>
                </c:pt>
                <c:pt idx="2196">
                  <c:v>259654.28000000003</c:v>
                </c:pt>
                <c:pt idx="2197">
                  <c:v>255254.28000000003</c:v>
                </c:pt>
                <c:pt idx="2198">
                  <c:v>259129.28000000003</c:v>
                </c:pt>
                <c:pt idx="2199">
                  <c:v>262129.28000000003</c:v>
                </c:pt>
                <c:pt idx="2200">
                  <c:v>259929.28000000003</c:v>
                </c:pt>
                <c:pt idx="2201">
                  <c:v>256629.28000000003</c:v>
                </c:pt>
                <c:pt idx="2202">
                  <c:v>254429.28000000003</c:v>
                </c:pt>
                <c:pt idx="2203">
                  <c:v>254179.28000000003</c:v>
                </c:pt>
                <c:pt idx="2204">
                  <c:v>259954.28000000003</c:v>
                </c:pt>
                <c:pt idx="2205">
                  <c:v>257454.28000000003</c:v>
                </c:pt>
                <c:pt idx="2206">
                  <c:v>254954.28000000003</c:v>
                </c:pt>
                <c:pt idx="2207">
                  <c:v>256693.28000000003</c:v>
                </c:pt>
                <c:pt idx="2208">
                  <c:v>258693.28000000003</c:v>
                </c:pt>
                <c:pt idx="2209">
                  <c:v>253193.28000000003</c:v>
                </c:pt>
                <c:pt idx="2210">
                  <c:v>248793.28000000003</c:v>
                </c:pt>
                <c:pt idx="2211">
                  <c:v>245793.28000000003</c:v>
                </c:pt>
                <c:pt idx="2212">
                  <c:v>242493.28000000003</c:v>
                </c:pt>
                <c:pt idx="2213">
                  <c:v>240293.28000000003</c:v>
                </c:pt>
                <c:pt idx="2214">
                  <c:v>244293.28000000003</c:v>
                </c:pt>
                <c:pt idx="2215">
                  <c:v>241293.28000000003</c:v>
                </c:pt>
                <c:pt idx="2216">
                  <c:v>242341.28000000003</c:v>
                </c:pt>
                <c:pt idx="2217">
                  <c:v>240341.28000000003</c:v>
                </c:pt>
                <c:pt idx="2218">
                  <c:v>238141.28000000003</c:v>
                </c:pt>
                <c:pt idx="2219">
                  <c:v>237141.28000000003</c:v>
                </c:pt>
                <c:pt idx="2220">
                  <c:v>233841.28000000003</c:v>
                </c:pt>
                <c:pt idx="2221">
                  <c:v>233841.28000000003</c:v>
                </c:pt>
                <c:pt idx="2222">
                  <c:v>236841.28000000003</c:v>
                </c:pt>
                <c:pt idx="2223">
                  <c:v>231341.28000000003</c:v>
                </c:pt>
                <c:pt idx="2224">
                  <c:v>235341.28000000003</c:v>
                </c:pt>
                <c:pt idx="2225">
                  <c:v>237341.28000000003</c:v>
                </c:pt>
                <c:pt idx="2226">
                  <c:v>243941.28000000003</c:v>
                </c:pt>
                <c:pt idx="2227">
                  <c:v>240941.28000000003</c:v>
                </c:pt>
                <c:pt idx="2228">
                  <c:v>238741.28000000003</c:v>
                </c:pt>
                <c:pt idx="2229">
                  <c:v>241741.28000000003</c:v>
                </c:pt>
                <c:pt idx="2230">
                  <c:v>244741.28000000003</c:v>
                </c:pt>
                <c:pt idx="2231">
                  <c:v>243641.28000000003</c:v>
                </c:pt>
                <c:pt idx="2232">
                  <c:v>238141.28000000003</c:v>
                </c:pt>
                <c:pt idx="2233">
                  <c:v>241141.28000000003</c:v>
                </c:pt>
                <c:pt idx="2234">
                  <c:v>236741.28000000003</c:v>
                </c:pt>
                <c:pt idx="2235">
                  <c:v>238741.28000000003</c:v>
                </c:pt>
                <c:pt idx="2236">
                  <c:v>245141.28000000003</c:v>
                </c:pt>
                <c:pt idx="2237">
                  <c:v>243641.28000000003</c:v>
                </c:pt>
                <c:pt idx="2238">
                  <c:v>240341.28000000003</c:v>
                </c:pt>
                <c:pt idx="2239">
                  <c:v>234841.28000000003</c:v>
                </c:pt>
                <c:pt idx="2240">
                  <c:v>236841.28000000003</c:v>
                </c:pt>
                <c:pt idx="2241">
                  <c:v>234841.28000000003</c:v>
                </c:pt>
                <c:pt idx="2242">
                  <c:v>232641.28000000003</c:v>
                </c:pt>
                <c:pt idx="2243">
                  <c:v>228241.28000000003</c:v>
                </c:pt>
                <c:pt idx="2244">
                  <c:v>223841.28000000003</c:v>
                </c:pt>
                <c:pt idx="2245">
                  <c:v>220541.28000000003</c:v>
                </c:pt>
                <c:pt idx="2246">
                  <c:v>215541.28000000003</c:v>
                </c:pt>
                <c:pt idx="2247">
                  <c:v>212241.28000000003</c:v>
                </c:pt>
                <c:pt idx="2248">
                  <c:v>211241.28000000003</c:v>
                </c:pt>
                <c:pt idx="2249">
                  <c:v>213241.28000000003</c:v>
                </c:pt>
                <c:pt idx="2250">
                  <c:v>215241.28000000003</c:v>
                </c:pt>
                <c:pt idx="2251">
                  <c:v>219241.28000000003</c:v>
                </c:pt>
                <c:pt idx="2252">
                  <c:v>222241.28000000003</c:v>
                </c:pt>
                <c:pt idx="2253">
                  <c:v>225891.28000000003</c:v>
                </c:pt>
                <c:pt idx="2254">
                  <c:v>222591.28000000003</c:v>
                </c:pt>
                <c:pt idx="2255">
                  <c:v>223841.28000000003</c:v>
                </c:pt>
                <c:pt idx="2256">
                  <c:v>228841.28000000003</c:v>
                </c:pt>
                <c:pt idx="2257">
                  <c:v>224441.28000000003</c:v>
                </c:pt>
                <c:pt idx="2258">
                  <c:v>226441.28000000003</c:v>
                </c:pt>
                <c:pt idx="2259">
                  <c:v>230991.28000000003</c:v>
                </c:pt>
                <c:pt idx="2260">
                  <c:v>229891.28000000003</c:v>
                </c:pt>
                <c:pt idx="2261">
                  <c:v>232891.28000000003</c:v>
                </c:pt>
                <c:pt idx="2262">
                  <c:v>237239.28000000003</c:v>
                </c:pt>
                <c:pt idx="2263">
                  <c:v>240239.28000000003</c:v>
                </c:pt>
                <c:pt idx="2264">
                  <c:v>236939.28000000003</c:v>
                </c:pt>
                <c:pt idx="2265">
                  <c:v>234939.28000000003</c:v>
                </c:pt>
                <c:pt idx="2266">
                  <c:v>236939.28000000003</c:v>
                </c:pt>
                <c:pt idx="2267">
                  <c:v>241939.28000000003</c:v>
                </c:pt>
                <c:pt idx="2268">
                  <c:v>254314.28000000003</c:v>
                </c:pt>
                <c:pt idx="2269">
                  <c:v>251814.28000000003</c:v>
                </c:pt>
                <c:pt idx="2270">
                  <c:v>259514.28000000003</c:v>
                </c:pt>
                <c:pt idx="2271">
                  <c:v>261514.28000000003</c:v>
                </c:pt>
                <c:pt idx="2272">
                  <c:v>258514.28000000003</c:v>
                </c:pt>
                <c:pt idx="2273">
                  <c:v>262514.28000000003</c:v>
                </c:pt>
                <c:pt idx="2274">
                  <c:v>260314.28000000003</c:v>
                </c:pt>
                <c:pt idx="2275">
                  <c:v>258114.28000000003</c:v>
                </c:pt>
                <c:pt idx="2276">
                  <c:v>264714.28000000003</c:v>
                </c:pt>
                <c:pt idx="2277">
                  <c:v>262714.28000000003</c:v>
                </c:pt>
                <c:pt idx="2278">
                  <c:v>264714.28000000003</c:v>
                </c:pt>
                <c:pt idx="2279">
                  <c:v>269714.28000000003</c:v>
                </c:pt>
                <c:pt idx="2280">
                  <c:v>267514.28000000003</c:v>
                </c:pt>
                <c:pt idx="2281">
                  <c:v>270514.28000000003</c:v>
                </c:pt>
                <c:pt idx="2282">
                  <c:v>273514.28000000003</c:v>
                </c:pt>
                <c:pt idx="2283">
                  <c:v>271314.28000000003</c:v>
                </c:pt>
                <c:pt idx="2284">
                  <c:v>269114.28000000003</c:v>
                </c:pt>
                <c:pt idx="2285">
                  <c:v>273114.28000000003</c:v>
                </c:pt>
                <c:pt idx="2286">
                  <c:v>269814.28000000003</c:v>
                </c:pt>
                <c:pt idx="2287">
                  <c:v>267314.28000000003</c:v>
                </c:pt>
                <c:pt idx="2288">
                  <c:v>270314.28000000003</c:v>
                </c:pt>
                <c:pt idx="2289">
                  <c:v>275314.28000000003</c:v>
                </c:pt>
                <c:pt idx="2290">
                  <c:v>280314.28000000003</c:v>
                </c:pt>
                <c:pt idx="2291">
                  <c:v>278114.28000000003</c:v>
                </c:pt>
                <c:pt idx="2292">
                  <c:v>274814.28000000003</c:v>
                </c:pt>
                <c:pt idx="2293">
                  <c:v>279814.28000000003</c:v>
                </c:pt>
                <c:pt idx="2294">
                  <c:v>288564.28000000003</c:v>
                </c:pt>
                <c:pt idx="2295">
                  <c:v>293564.28000000003</c:v>
                </c:pt>
                <c:pt idx="2296">
                  <c:v>290264.28000000003</c:v>
                </c:pt>
                <c:pt idx="2297">
                  <c:v>288064.28000000003</c:v>
                </c:pt>
                <c:pt idx="2298">
                  <c:v>293064.28000000003</c:v>
                </c:pt>
                <c:pt idx="2299">
                  <c:v>288664.28000000003</c:v>
                </c:pt>
                <c:pt idx="2300">
                  <c:v>291664.28000000003</c:v>
                </c:pt>
                <c:pt idx="2301">
                  <c:v>294664.28000000003</c:v>
                </c:pt>
                <c:pt idx="2302">
                  <c:v>292664.28000000003</c:v>
                </c:pt>
                <c:pt idx="2303">
                  <c:v>297664.28000000003</c:v>
                </c:pt>
                <c:pt idx="2304">
                  <c:v>304814.28000000003</c:v>
                </c:pt>
                <c:pt idx="2305">
                  <c:v>306814.28000000003</c:v>
                </c:pt>
                <c:pt idx="2306">
                  <c:v>304814.28000000003</c:v>
                </c:pt>
                <c:pt idx="2307">
                  <c:v>307214.28000000003</c:v>
                </c:pt>
                <c:pt idx="2308">
                  <c:v>310214.28000000003</c:v>
                </c:pt>
                <c:pt idx="2309">
                  <c:v>308214.28000000003</c:v>
                </c:pt>
                <c:pt idx="2310">
                  <c:v>313214.28000000003</c:v>
                </c:pt>
                <c:pt idx="2311">
                  <c:v>313214.28000000003</c:v>
                </c:pt>
                <c:pt idx="2312">
                  <c:v>316214.28000000003</c:v>
                </c:pt>
                <c:pt idx="2313">
                  <c:v>310714.28000000003</c:v>
                </c:pt>
                <c:pt idx="2314">
                  <c:v>313714.28000000003</c:v>
                </c:pt>
                <c:pt idx="2315">
                  <c:v>308214.28000000003</c:v>
                </c:pt>
                <c:pt idx="2316">
                  <c:v>313214.28000000003</c:v>
                </c:pt>
                <c:pt idx="2317">
                  <c:v>311014.28000000003</c:v>
                </c:pt>
                <c:pt idx="2318">
                  <c:v>316014.28000000003</c:v>
                </c:pt>
                <c:pt idx="2319">
                  <c:v>312714.28000000003</c:v>
                </c:pt>
                <c:pt idx="2320">
                  <c:v>322339.28000000003</c:v>
                </c:pt>
                <c:pt idx="2321">
                  <c:v>320139.28000000003</c:v>
                </c:pt>
                <c:pt idx="2322">
                  <c:v>314639.28000000003</c:v>
                </c:pt>
                <c:pt idx="2323">
                  <c:v>316639.28000000003</c:v>
                </c:pt>
                <c:pt idx="2324">
                  <c:v>321877.28000000003</c:v>
                </c:pt>
                <c:pt idx="2325">
                  <c:v>317877.28000000003</c:v>
                </c:pt>
                <c:pt idx="2326">
                  <c:v>314577.28000000003</c:v>
                </c:pt>
                <c:pt idx="2327">
                  <c:v>312377.28000000003</c:v>
                </c:pt>
                <c:pt idx="2328">
                  <c:v>310177.28000000003</c:v>
                </c:pt>
                <c:pt idx="2329">
                  <c:v>313177.28000000003</c:v>
                </c:pt>
                <c:pt idx="2330">
                  <c:v>307677.28000000003</c:v>
                </c:pt>
                <c:pt idx="2331">
                  <c:v>309677.28000000003</c:v>
                </c:pt>
                <c:pt idx="2332">
                  <c:v>312677.28000000003</c:v>
                </c:pt>
                <c:pt idx="2333">
                  <c:v>316677.28000000003</c:v>
                </c:pt>
                <c:pt idx="2334">
                  <c:v>317677.28000000003</c:v>
                </c:pt>
                <c:pt idx="2335">
                  <c:v>320677.28000000003</c:v>
                </c:pt>
                <c:pt idx="2336">
                  <c:v>322677.28000000003</c:v>
                </c:pt>
                <c:pt idx="2337">
                  <c:v>323677.28000000003</c:v>
                </c:pt>
                <c:pt idx="2338">
                  <c:v>319277.28000000003</c:v>
                </c:pt>
                <c:pt idx="2339">
                  <c:v>317077.28000000003</c:v>
                </c:pt>
                <c:pt idx="2340">
                  <c:v>313777.28000000003</c:v>
                </c:pt>
                <c:pt idx="2341">
                  <c:v>315777.28000000003</c:v>
                </c:pt>
                <c:pt idx="2342">
                  <c:v>320777.28000000003</c:v>
                </c:pt>
                <c:pt idx="2343">
                  <c:v>318277.28000000003</c:v>
                </c:pt>
                <c:pt idx="2344">
                  <c:v>321277.28000000003</c:v>
                </c:pt>
                <c:pt idx="2345">
                  <c:v>319077.28000000003</c:v>
                </c:pt>
                <c:pt idx="2346">
                  <c:v>313577.28000000003</c:v>
                </c:pt>
                <c:pt idx="2347">
                  <c:v>311377.28000000003</c:v>
                </c:pt>
                <c:pt idx="2348">
                  <c:v>308077.28000000003</c:v>
                </c:pt>
                <c:pt idx="2349">
                  <c:v>304777.28000000003</c:v>
                </c:pt>
                <c:pt idx="2350">
                  <c:v>306777.28000000003</c:v>
                </c:pt>
                <c:pt idx="2351">
                  <c:v>301277.28000000003</c:v>
                </c:pt>
                <c:pt idx="2352">
                  <c:v>303277.28000000003</c:v>
                </c:pt>
                <c:pt idx="2353">
                  <c:v>298877.28000000003</c:v>
                </c:pt>
                <c:pt idx="2354">
                  <c:v>304502.28000000003</c:v>
                </c:pt>
                <c:pt idx="2355">
                  <c:v>302302.28000000003</c:v>
                </c:pt>
                <c:pt idx="2356">
                  <c:v>304302.28000000003</c:v>
                </c:pt>
                <c:pt idx="2357">
                  <c:v>305302.28000000003</c:v>
                </c:pt>
                <c:pt idx="2358">
                  <c:v>310302.28000000003</c:v>
                </c:pt>
                <c:pt idx="2359">
                  <c:v>307002.28000000003</c:v>
                </c:pt>
                <c:pt idx="2360">
                  <c:v>309002.28000000003</c:v>
                </c:pt>
                <c:pt idx="2361">
                  <c:v>305702.28000000003</c:v>
                </c:pt>
                <c:pt idx="2362">
                  <c:v>303502.28000000003</c:v>
                </c:pt>
                <c:pt idx="2363">
                  <c:v>306502.28000000003</c:v>
                </c:pt>
                <c:pt idx="2364">
                  <c:v>310348.28000000003</c:v>
                </c:pt>
                <c:pt idx="2365">
                  <c:v>308148.28000000003</c:v>
                </c:pt>
                <c:pt idx="2366">
                  <c:v>313648.28000000003</c:v>
                </c:pt>
                <c:pt idx="2367">
                  <c:v>316648.28000000003</c:v>
                </c:pt>
                <c:pt idx="2368">
                  <c:v>313348.28000000003</c:v>
                </c:pt>
                <c:pt idx="2369">
                  <c:v>314348.28000000003</c:v>
                </c:pt>
                <c:pt idx="2370">
                  <c:v>309948.28000000003</c:v>
                </c:pt>
                <c:pt idx="2371">
                  <c:v>307448.28000000003</c:v>
                </c:pt>
                <c:pt idx="2372">
                  <c:v>310448.28000000003</c:v>
                </c:pt>
                <c:pt idx="2373">
                  <c:v>315448.28000000003</c:v>
                </c:pt>
                <c:pt idx="2374">
                  <c:v>318448.28000000003</c:v>
                </c:pt>
                <c:pt idx="2375">
                  <c:v>322648.28000000003</c:v>
                </c:pt>
                <c:pt idx="2376">
                  <c:v>320448.28000000003</c:v>
                </c:pt>
                <c:pt idx="2377">
                  <c:v>317148.28000000003</c:v>
                </c:pt>
                <c:pt idx="2378">
                  <c:v>314148.28000000003</c:v>
                </c:pt>
                <c:pt idx="2379">
                  <c:v>309748.28000000003</c:v>
                </c:pt>
                <c:pt idx="2380">
                  <c:v>314748.28000000003</c:v>
                </c:pt>
                <c:pt idx="2381">
                  <c:v>313648.28000000003</c:v>
                </c:pt>
                <c:pt idx="2382">
                  <c:v>317648.28000000003</c:v>
                </c:pt>
                <c:pt idx="2383">
                  <c:v>320648.28000000003</c:v>
                </c:pt>
                <c:pt idx="2384">
                  <c:v>322648.28000000003</c:v>
                </c:pt>
                <c:pt idx="2385">
                  <c:v>319148.28000000003</c:v>
                </c:pt>
                <c:pt idx="2386">
                  <c:v>316948.28000000003</c:v>
                </c:pt>
                <c:pt idx="2387">
                  <c:v>318948.28000000003</c:v>
                </c:pt>
                <c:pt idx="2388">
                  <c:v>321556.98000000004</c:v>
                </c:pt>
                <c:pt idx="2389">
                  <c:v>316056.98000000004</c:v>
                </c:pt>
                <c:pt idx="2390">
                  <c:v>313056.98000000004</c:v>
                </c:pt>
                <c:pt idx="2391">
                  <c:v>316056.98000000004</c:v>
                </c:pt>
                <c:pt idx="2392">
                  <c:v>312756.98000000004</c:v>
                </c:pt>
                <c:pt idx="2393">
                  <c:v>311656.98000000004</c:v>
                </c:pt>
                <c:pt idx="2394">
                  <c:v>309656.98000000004</c:v>
                </c:pt>
                <c:pt idx="2395">
                  <c:v>311656.98000000004</c:v>
                </c:pt>
                <c:pt idx="2396">
                  <c:v>314656.98000000004</c:v>
                </c:pt>
                <c:pt idx="2397">
                  <c:v>312456.98000000004</c:v>
                </c:pt>
                <c:pt idx="2398">
                  <c:v>316456.98000000004</c:v>
                </c:pt>
                <c:pt idx="2399">
                  <c:v>314256.98000000004</c:v>
                </c:pt>
                <c:pt idx="2400">
                  <c:v>312056.98000000004</c:v>
                </c:pt>
                <c:pt idx="2401">
                  <c:v>306556.98000000004</c:v>
                </c:pt>
                <c:pt idx="2402">
                  <c:v>303256.98000000004</c:v>
                </c:pt>
                <c:pt idx="2403">
                  <c:v>306256.98000000004</c:v>
                </c:pt>
                <c:pt idx="2404">
                  <c:v>310839.98000000004</c:v>
                </c:pt>
                <c:pt idx="2405">
                  <c:v>313839.98000000004</c:v>
                </c:pt>
                <c:pt idx="2406">
                  <c:v>317172.98000000004</c:v>
                </c:pt>
                <c:pt idx="2407">
                  <c:v>320172.98000000004</c:v>
                </c:pt>
                <c:pt idx="2408">
                  <c:v>316872.98000000004</c:v>
                </c:pt>
                <c:pt idx="2409">
                  <c:v>313572.98000000004</c:v>
                </c:pt>
                <c:pt idx="2410">
                  <c:v>308072.98000000004</c:v>
                </c:pt>
                <c:pt idx="2411">
                  <c:v>311072.98000000004</c:v>
                </c:pt>
                <c:pt idx="2412">
                  <c:v>307772.98000000004</c:v>
                </c:pt>
                <c:pt idx="2413">
                  <c:v>306672.98000000004</c:v>
                </c:pt>
                <c:pt idx="2414">
                  <c:v>301172.98000000004</c:v>
                </c:pt>
                <c:pt idx="2415">
                  <c:v>304172.98000000004</c:v>
                </c:pt>
                <c:pt idx="2416">
                  <c:v>307172.98000000004</c:v>
                </c:pt>
                <c:pt idx="2417">
                  <c:v>302772.98000000004</c:v>
                </c:pt>
                <c:pt idx="2418">
                  <c:v>304772.98000000004</c:v>
                </c:pt>
                <c:pt idx="2419">
                  <c:v>307153.93000000005</c:v>
                </c:pt>
                <c:pt idx="2420">
                  <c:v>308153.93000000005</c:v>
                </c:pt>
                <c:pt idx="2421">
                  <c:v>312153.93000000005</c:v>
                </c:pt>
                <c:pt idx="2422">
                  <c:v>314153.93000000005</c:v>
                </c:pt>
                <c:pt idx="2423">
                  <c:v>311653.93000000005</c:v>
                </c:pt>
                <c:pt idx="2424">
                  <c:v>314153.93000000005</c:v>
                </c:pt>
                <c:pt idx="2425">
                  <c:v>308653.93000000005</c:v>
                </c:pt>
                <c:pt idx="2426">
                  <c:v>313653.93000000005</c:v>
                </c:pt>
                <c:pt idx="2427">
                  <c:v>309353.93000000005</c:v>
                </c:pt>
                <c:pt idx="2428">
                  <c:v>307153.93000000005</c:v>
                </c:pt>
                <c:pt idx="2429">
                  <c:v>304953.93000000005</c:v>
                </c:pt>
                <c:pt idx="2430">
                  <c:v>301653.93000000005</c:v>
                </c:pt>
                <c:pt idx="2431">
                  <c:v>298353.93000000005</c:v>
                </c:pt>
                <c:pt idx="2432">
                  <c:v>300353.93000000005</c:v>
                </c:pt>
                <c:pt idx="2433">
                  <c:v>298353.93000000005</c:v>
                </c:pt>
                <c:pt idx="2434">
                  <c:v>299353.93000000005</c:v>
                </c:pt>
                <c:pt idx="2435">
                  <c:v>296053.93000000005</c:v>
                </c:pt>
                <c:pt idx="2436">
                  <c:v>291653.93000000005</c:v>
                </c:pt>
                <c:pt idx="2437">
                  <c:v>294653.93000000005</c:v>
                </c:pt>
                <c:pt idx="2438">
                  <c:v>294653.93000000005</c:v>
                </c:pt>
                <c:pt idx="2439">
                  <c:v>291353.93000000005</c:v>
                </c:pt>
                <c:pt idx="2440">
                  <c:v>289153.93000000005</c:v>
                </c:pt>
                <c:pt idx="2441">
                  <c:v>283653.93000000005</c:v>
                </c:pt>
                <c:pt idx="2442">
                  <c:v>278153.93000000005</c:v>
                </c:pt>
                <c:pt idx="2443">
                  <c:v>281153.93000000005</c:v>
                </c:pt>
                <c:pt idx="2444">
                  <c:v>282153.93000000005</c:v>
                </c:pt>
                <c:pt idx="2445">
                  <c:v>279153.93000000005</c:v>
                </c:pt>
                <c:pt idx="2446">
                  <c:v>274853.93000000005</c:v>
                </c:pt>
                <c:pt idx="2447">
                  <c:v>279044.41000000003</c:v>
                </c:pt>
                <c:pt idx="2448">
                  <c:v>280794.41000000003</c:v>
                </c:pt>
                <c:pt idx="2449">
                  <c:v>286569.41000000003</c:v>
                </c:pt>
                <c:pt idx="2450">
                  <c:v>282169.41000000003</c:v>
                </c:pt>
                <c:pt idx="2451">
                  <c:v>279169.41000000003</c:v>
                </c:pt>
                <c:pt idx="2452">
                  <c:v>275869.41000000003</c:v>
                </c:pt>
                <c:pt idx="2453">
                  <c:v>270369.41000000003</c:v>
                </c:pt>
                <c:pt idx="2454">
                  <c:v>273238.41000000003</c:v>
                </c:pt>
                <c:pt idx="2455">
                  <c:v>269938.41000000003</c:v>
                </c:pt>
                <c:pt idx="2456">
                  <c:v>266938.41000000003</c:v>
                </c:pt>
                <c:pt idx="2457">
                  <c:v>264738.41000000003</c:v>
                </c:pt>
                <c:pt idx="2458">
                  <c:v>266738.41000000003</c:v>
                </c:pt>
                <c:pt idx="2459">
                  <c:v>265638.41000000003</c:v>
                </c:pt>
                <c:pt idx="2460">
                  <c:v>262338.41000000003</c:v>
                </c:pt>
                <c:pt idx="2461">
                  <c:v>261238.41000000003</c:v>
                </c:pt>
                <c:pt idx="2462">
                  <c:v>263238.41000000003</c:v>
                </c:pt>
                <c:pt idx="2463">
                  <c:v>266838.41000000003</c:v>
                </c:pt>
                <c:pt idx="2464">
                  <c:v>261338.41000000003</c:v>
                </c:pt>
                <c:pt idx="2465">
                  <c:v>267238.41000000003</c:v>
                </c:pt>
                <c:pt idx="2466">
                  <c:v>265038.41000000003</c:v>
                </c:pt>
                <c:pt idx="2467">
                  <c:v>261738.41000000003</c:v>
                </c:pt>
                <c:pt idx="2468">
                  <c:v>265738.41000000003</c:v>
                </c:pt>
                <c:pt idx="2469">
                  <c:v>263538.41000000003</c:v>
                </c:pt>
                <c:pt idx="2470">
                  <c:v>258038.41000000003</c:v>
                </c:pt>
                <c:pt idx="2471">
                  <c:v>254738.41000000003</c:v>
                </c:pt>
                <c:pt idx="2472">
                  <c:v>252738.41000000003</c:v>
                </c:pt>
                <c:pt idx="2473">
                  <c:v>254738.41000000003</c:v>
                </c:pt>
                <c:pt idx="2474">
                  <c:v>252238.41000000003</c:v>
                </c:pt>
                <c:pt idx="2475">
                  <c:v>247938.41000000003</c:v>
                </c:pt>
                <c:pt idx="2476">
                  <c:v>243538.41000000003</c:v>
                </c:pt>
                <c:pt idx="2477">
                  <c:v>246538.41000000003</c:v>
                </c:pt>
                <c:pt idx="2478">
                  <c:v>249538.41000000003</c:v>
                </c:pt>
                <c:pt idx="2479">
                  <c:v>252538.41000000003</c:v>
                </c:pt>
                <c:pt idx="2480">
                  <c:v>260038.41000000003</c:v>
                </c:pt>
                <c:pt idx="2481">
                  <c:v>261288.41000000003</c:v>
                </c:pt>
                <c:pt idx="2482">
                  <c:v>259288.41000000003</c:v>
                </c:pt>
                <c:pt idx="2483">
                  <c:v>262288.41000000003</c:v>
                </c:pt>
                <c:pt idx="2484">
                  <c:v>257888.41000000003</c:v>
                </c:pt>
                <c:pt idx="2485">
                  <c:v>260888.41000000003</c:v>
                </c:pt>
                <c:pt idx="2486">
                  <c:v>255388.41000000003</c:v>
                </c:pt>
                <c:pt idx="2487">
                  <c:v>250988.41000000003</c:v>
                </c:pt>
                <c:pt idx="2488">
                  <c:v>247988.41000000003</c:v>
                </c:pt>
                <c:pt idx="2489">
                  <c:v>244688.41000000003</c:v>
                </c:pt>
                <c:pt idx="2490">
                  <c:v>243588.41000000003</c:v>
                </c:pt>
                <c:pt idx="2491">
                  <c:v>240288.41000000003</c:v>
                </c:pt>
                <c:pt idx="2492">
                  <c:v>238088.41000000003</c:v>
                </c:pt>
                <c:pt idx="2493">
                  <c:v>241088.41000000003</c:v>
                </c:pt>
                <c:pt idx="2494">
                  <c:v>238888.41000000003</c:v>
                </c:pt>
                <c:pt idx="2495">
                  <c:v>243508.41000000003</c:v>
                </c:pt>
                <c:pt idx="2496">
                  <c:v>247417.41000000003</c:v>
                </c:pt>
                <c:pt idx="2497">
                  <c:v>250417.41000000003</c:v>
                </c:pt>
                <c:pt idx="2498">
                  <c:v>246017.41000000003</c:v>
                </c:pt>
                <c:pt idx="2499">
                  <c:v>242717.41000000003</c:v>
                </c:pt>
                <c:pt idx="2500">
                  <c:v>239417.41000000003</c:v>
                </c:pt>
                <c:pt idx="2501">
                  <c:v>243417.41000000003</c:v>
                </c:pt>
                <c:pt idx="2502">
                  <c:v>244417.41000000003</c:v>
                </c:pt>
                <c:pt idx="2503">
                  <c:v>239917.41000000003</c:v>
                </c:pt>
                <c:pt idx="2504">
                  <c:v>237917.41000000003</c:v>
                </c:pt>
                <c:pt idx="2505">
                  <c:v>239917.41000000003</c:v>
                </c:pt>
                <c:pt idx="2506">
                  <c:v>243917.41000000003</c:v>
                </c:pt>
                <c:pt idx="2507">
                  <c:v>246917.41000000003</c:v>
                </c:pt>
                <c:pt idx="2508">
                  <c:v>248917.41000000003</c:v>
                </c:pt>
                <c:pt idx="2509">
                  <c:v>246917.41000000003</c:v>
                </c:pt>
                <c:pt idx="2510">
                  <c:v>250667.41000000003</c:v>
                </c:pt>
                <c:pt idx="2511">
                  <c:v>253667.41000000003</c:v>
                </c:pt>
                <c:pt idx="2512">
                  <c:v>255667.41000000003</c:v>
                </c:pt>
                <c:pt idx="2513">
                  <c:v>260667.41000000003</c:v>
                </c:pt>
                <c:pt idx="2514">
                  <c:v>264303.77</c:v>
                </c:pt>
                <c:pt idx="2515">
                  <c:v>271728.77</c:v>
                </c:pt>
                <c:pt idx="2516">
                  <c:v>273728.77</c:v>
                </c:pt>
                <c:pt idx="2517">
                  <c:v>270428.77</c:v>
                </c:pt>
                <c:pt idx="2518">
                  <c:v>274478.77</c:v>
                </c:pt>
                <c:pt idx="2519">
                  <c:v>280253.77</c:v>
                </c:pt>
                <c:pt idx="2520">
                  <c:v>278253.77</c:v>
                </c:pt>
                <c:pt idx="2521">
                  <c:v>274953.77</c:v>
                </c:pt>
                <c:pt idx="2522">
                  <c:v>277953.77</c:v>
                </c:pt>
                <c:pt idx="2523">
                  <c:v>282953.77</c:v>
                </c:pt>
                <c:pt idx="2524">
                  <c:v>287453.77</c:v>
                </c:pt>
                <c:pt idx="2525">
                  <c:v>281953.77</c:v>
                </c:pt>
                <c:pt idx="2526">
                  <c:v>283953.77</c:v>
                </c:pt>
                <c:pt idx="2527">
                  <c:v>280653.77</c:v>
                </c:pt>
                <c:pt idx="2528">
                  <c:v>277353.77</c:v>
                </c:pt>
                <c:pt idx="2529">
                  <c:v>272953.77</c:v>
                </c:pt>
                <c:pt idx="2530">
                  <c:v>268953.77</c:v>
                </c:pt>
                <c:pt idx="2531">
                  <c:v>263453.77</c:v>
                </c:pt>
                <c:pt idx="2532">
                  <c:v>260453.77000000002</c:v>
                </c:pt>
                <c:pt idx="2533">
                  <c:v>257153.77000000002</c:v>
                </c:pt>
                <c:pt idx="2534">
                  <c:v>254953.77000000002</c:v>
                </c:pt>
                <c:pt idx="2535">
                  <c:v>252953.77000000002</c:v>
                </c:pt>
                <c:pt idx="2536">
                  <c:v>255953.77000000002</c:v>
                </c:pt>
                <c:pt idx="2537">
                  <c:v>260953.77000000002</c:v>
                </c:pt>
                <c:pt idx="2538">
                  <c:v>257653.77000000002</c:v>
                </c:pt>
                <c:pt idx="2539">
                  <c:v>254353.77000000002</c:v>
                </c:pt>
                <c:pt idx="2540">
                  <c:v>257353.77000000002</c:v>
                </c:pt>
                <c:pt idx="2541">
                  <c:v>259353.77000000002</c:v>
                </c:pt>
                <c:pt idx="2542">
                  <c:v>260353.77000000002</c:v>
                </c:pt>
                <c:pt idx="2543">
                  <c:v>258153.77000000002</c:v>
                </c:pt>
                <c:pt idx="2544">
                  <c:v>265963.77</c:v>
                </c:pt>
                <c:pt idx="2545">
                  <c:v>269863.77</c:v>
                </c:pt>
                <c:pt idx="2546">
                  <c:v>265463.77</c:v>
                </c:pt>
                <c:pt idx="2547">
                  <c:v>268463.77</c:v>
                </c:pt>
                <c:pt idx="2548">
                  <c:v>264963.77</c:v>
                </c:pt>
                <c:pt idx="2549">
                  <c:v>269963.77</c:v>
                </c:pt>
                <c:pt idx="2550">
                  <c:v>269963.77</c:v>
                </c:pt>
                <c:pt idx="2551">
                  <c:v>266663.77</c:v>
                </c:pt>
                <c:pt idx="2552">
                  <c:v>263363.77</c:v>
                </c:pt>
                <c:pt idx="2553">
                  <c:v>269963.77</c:v>
                </c:pt>
                <c:pt idx="2554">
                  <c:v>266963.77</c:v>
                </c:pt>
                <c:pt idx="2555">
                  <c:v>264763.77</c:v>
                </c:pt>
                <c:pt idx="2556">
                  <c:v>261463.77000000002</c:v>
                </c:pt>
                <c:pt idx="2557">
                  <c:v>258463.77000000002</c:v>
                </c:pt>
                <c:pt idx="2558">
                  <c:v>252963.77000000002</c:v>
                </c:pt>
                <c:pt idx="2559">
                  <c:v>254963.77000000002</c:v>
                </c:pt>
                <c:pt idx="2560">
                  <c:v>251663.77000000002</c:v>
                </c:pt>
                <c:pt idx="2561">
                  <c:v>253838.77000000002</c:v>
                </c:pt>
                <c:pt idx="2562">
                  <c:v>248338.77000000002</c:v>
                </c:pt>
                <c:pt idx="2563">
                  <c:v>252338.77000000002</c:v>
                </c:pt>
                <c:pt idx="2564">
                  <c:v>257338.77000000002</c:v>
                </c:pt>
                <c:pt idx="2565">
                  <c:v>255138.77000000002</c:v>
                </c:pt>
                <c:pt idx="2566">
                  <c:v>252938.77000000002</c:v>
                </c:pt>
                <c:pt idx="2567">
                  <c:v>255938.77000000002</c:v>
                </c:pt>
                <c:pt idx="2568">
                  <c:v>260938.77000000002</c:v>
                </c:pt>
                <c:pt idx="2569">
                  <c:v>265938.77</c:v>
                </c:pt>
                <c:pt idx="2570">
                  <c:v>267938.77</c:v>
                </c:pt>
                <c:pt idx="2571">
                  <c:v>271938.77</c:v>
                </c:pt>
                <c:pt idx="2572">
                  <c:v>271938.77</c:v>
                </c:pt>
                <c:pt idx="2573">
                  <c:v>274938.77</c:v>
                </c:pt>
                <c:pt idx="2574">
                  <c:v>280176.87</c:v>
                </c:pt>
                <c:pt idx="2575">
                  <c:v>274676.87</c:v>
                </c:pt>
                <c:pt idx="2576">
                  <c:v>272176.87</c:v>
                </c:pt>
                <c:pt idx="2577">
                  <c:v>271076.87</c:v>
                </c:pt>
                <c:pt idx="2578">
                  <c:v>273076.87</c:v>
                </c:pt>
                <c:pt idx="2579">
                  <c:v>273076.87</c:v>
                </c:pt>
                <c:pt idx="2580">
                  <c:v>275076.87</c:v>
                </c:pt>
                <c:pt idx="2581">
                  <c:v>272876.87</c:v>
                </c:pt>
                <c:pt idx="2582">
                  <c:v>273876.87</c:v>
                </c:pt>
                <c:pt idx="2583">
                  <c:v>270576.87</c:v>
                </c:pt>
                <c:pt idx="2584">
                  <c:v>265076.87</c:v>
                </c:pt>
                <c:pt idx="2585">
                  <c:v>267076.87</c:v>
                </c:pt>
                <c:pt idx="2586">
                  <c:v>265076.87</c:v>
                </c:pt>
                <c:pt idx="2587">
                  <c:v>265076.87</c:v>
                </c:pt>
                <c:pt idx="2588">
                  <c:v>261776.87</c:v>
                </c:pt>
                <c:pt idx="2589">
                  <c:v>258476.87</c:v>
                </c:pt>
                <c:pt idx="2590">
                  <c:v>256276.87</c:v>
                </c:pt>
                <c:pt idx="2591">
                  <c:v>260276.87</c:v>
                </c:pt>
                <c:pt idx="2592">
                  <c:v>258076.87</c:v>
                </c:pt>
                <c:pt idx="2593">
                  <c:v>253676.87</c:v>
                </c:pt>
                <c:pt idx="2594">
                  <c:v>251476.87</c:v>
                </c:pt>
                <c:pt idx="2595">
                  <c:v>248176.87</c:v>
                </c:pt>
                <c:pt idx="2596">
                  <c:v>245976.87</c:v>
                </c:pt>
                <c:pt idx="2597">
                  <c:v>247976.87</c:v>
                </c:pt>
                <c:pt idx="2598">
                  <c:v>248976.87</c:v>
                </c:pt>
                <c:pt idx="2599">
                  <c:v>255631.87</c:v>
                </c:pt>
                <c:pt idx="2600">
                  <c:v>258631.87</c:v>
                </c:pt>
                <c:pt idx="2601">
                  <c:v>260941.87</c:v>
                </c:pt>
                <c:pt idx="2602">
                  <c:v>258741.87</c:v>
                </c:pt>
                <c:pt idx="2603">
                  <c:v>256541.87</c:v>
                </c:pt>
                <c:pt idx="2604">
                  <c:v>259541.87</c:v>
                </c:pt>
                <c:pt idx="2605">
                  <c:v>257341.87</c:v>
                </c:pt>
                <c:pt idx="2606">
                  <c:v>259341.87</c:v>
                </c:pt>
                <c:pt idx="2607">
                  <c:v>256041.87</c:v>
                </c:pt>
                <c:pt idx="2608">
                  <c:v>257041.87</c:v>
                </c:pt>
                <c:pt idx="2609">
                  <c:v>259041.87</c:v>
                </c:pt>
                <c:pt idx="2610">
                  <c:v>262041.87</c:v>
                </c:pt>
                <c:pt idx="2611">
                  <c:v>257641.87</c:v>
                </c:pt>
                <c:pt idx="2612">
                  <c:v>253241.87</c:v>
                </c:pt>
                <c:pt idx="2613">
                  <c:v>249941.87</c:v>
                </c:pt>
                <c:pt idx="2614">
                  <c:v>254941.87</c:v>
                </c:pt>
                <c:pt idx="2615">
                  <c:v>257941.87</c:v>
                </c:pt>
                <c:pt idx="2616">
                  <c:v>261941.87</c:v>
                </c:pt>
                <c:pt idx="2617">
                  <c:v>258641.87</c:v>
                </c:pt>
                <c:pt idx="2618">
                  <c:v>258641.87</c:v>
                </c:pt>
                <c:pt idx="2619">
                  <c:v>264091.87</c:v>
                </c:pt>
                <c:pt idx="2620">
                  <c:v>267091.87</c:v>
                </c:pt>
                <c:pt idx="2621">
                  <c:v>264891.87</c:v>
                </c:pt>
                <c:pt idx="2622">
                  <c:v>265891.87</c:v>
                </c:pt>
                <c:pt idx="2623">
                  <c:v>263691.87</c:v>
                </c:pt>
                <c:pt idx="2624">
                  <c:v>265691.87</c:v>
                </c:pt>
                <c:pt idx="2625">
                  <c:v>263491.87</c:v>
                </c:pt>
                <c:pt idx="2626">
                  <c:v>267491.87</c:v>
                </c:pt>
                <c:pt idx="2627">
                  <c:v>270535.34999999998</c:v>
                </c:pt>
                <c:pt idx="2628">
                  <c:v>268335.34999999998</c:v>
                </c:pt>
                <c:pt idx="2629">
                  <c:v>265035.34999999998</c:v>
                </c:pt>
                <c:pt idx="2630">
                  <c:v>267035.34999999998</c:v>
                </c:pt>
                <c:pt idx="2631">
                  <c:v>274460.34999999998</c:v>
                </c:pt>
                <c:pt idx="2632">
                  <c:v>272260.34999999998</c:v>
                </c:pt>
                <c:pt idx="2633">
                  <c:v>268960.34999999998</c:v>
                </c:pt>
                <c:pt idx="2634">
                  <c:v>271960.34999999998</c:v>
                </c:pt>
                <c:pt idx="2635">
                  <c:v>275960.34999999998</c:v>
                </c:pt>
                <c:pt idx="2636">
                  <c:v>278569.05</c:v>
                </c:pt>
                <c:pt idx="2637">
                  <c:v>280569.05</c:v>
                </c:pt>
                <c:pt idx="2638">
                  <c:v>277269.05</c:v>
                </c:pt>
                <c:pt idx="2639">
                  <c:v>275069.05</c:v>
                </c:pt>
                <c:pt idx="2640">
                  <c:v>277069.05</c:v>
                </c:pt>
                <c:pt idx="2641">
                  <c:v>274869.05</c:v>
                </c:pt>
                <c:pt idx="2642">
                  <c:v>275869.05</c:v>
                </c:pt>
                <c:pt idx="2643">
                  <c:v>272569.05</c:v>
                </c:pt>
                <c:pt idx="2644">
                  <c:v>270569.05</c:v>
                </c:pt>
                <c:pt idx="2645">
                  <c:v>267269.05</c:v>
                </c:pt>
                <c:pt idx="2646">
                  <c:v>262869.05</c:v>
                </c:pt>
                <c:pt idx="2647">
                  <c:v>257369.05</c:v>
                </c:pt>
                <c:pt idx="2648">
                  <c:v>258369.05</c:v>
                </c:pt>
                <c:pt idx="2649">
                  <c:v>261369.05</c:v>
                </c:pt>
                <c:pt idx="2650">
                  <c:v>255869.05</c:v>
                </c:pt>
                <c:pt idx="2651">
                  <c:v>257869.05</c:v>
                </c:pt>
                <c:pt idx="2652">
                  <c:v>261869.05</c:v>
                </c:pt>
                <c:pt idx="2653">
                  <c:v>259669.05</c:v>
                </c:pt>
                <c:pt idx="2654">
                  <c:v>258569.05</c:v>
                </c:pt>
                <c:pt idx="2655">
                  <c:v>262482.08999999997</c:v>
                </c:pt>
                <c:pt idx="2656">
                  <c:v>266482.08999999997</c:v>
                </c:pt>
                <c:pt idx="2657">
                  <c:v>269170.08999999997</c:v>
                </c:pt>
                <c:pt idx="2658">
                  <c:v>271170.08999999997</c:v>
                </c:pt>
                <c:pt idx="2659">
                  <c:v>267870.08999999997</c:v>
                </c:pt>
                <c:pt idx="2660">
                  <c:v>267870.08999999997</c:v>
                </c:pt>
                <c:pt idx="2661">
                  <c:v>264570.08999999997</c:v>
                </c:pt>
                <c:pt idx="2662">
                  <c:v>261570.08999999997</c:v>
                </c:pt>
                <c:pt idx="2663">
                  <c:v>266570.08999999997</c:v>
                </c:pt>
                <c:pt idx="2664">
                  <c:v>269195.08999999997</c:v>
                </c:pt>
                <c:pt idx="2665">
                  <c:v>268095.08999999997</c:v>
                </c:pt>
                <c:pt idx="2666">
                  <c:v>270495.08999999997</c:v>
                </c:pt>
                <c:pt idx="2667">
                  <c:v>267195.08999999997</c:v>
                </c:pt>
                <c:pt idx="2668">
                  <c:v>269195.08999999997</c:v>
                </c:pt>
                <c:pt idx="2669">
                  <c:v>271195.08999999997</c:v>
                </c:pt>
                <c:pt idx="2670">
                  <c:v>266795.08999999997</c:v>
                </c:pt>
                <c:pt idx="2671">
                  <c:v>268795.08999999997</c:v>
                </c:pt>
                <c:pt idx="2672">
                  <c:v>267695.08999999997</c:v>
                </c:pt>
                <c:pt idx="2673">
                  <c:v>272695.08999999997</c:v>
                </c:pt>
                <c:pt idx="2674">
                  <c:v>275695.08999999997</c:v>
                </c:pt>
                <c:pt idx="2675">
                  <c:v>279695.08999999997</c:v>
                </c:pt>
                <c:pt idx="2676">
                  <c:v>276395.08999999997</c:v>
                </c:pt>
                <c:pt idx="2677">
                  <c:v>271995.08999999997</c:v>
                </c:pt>
                <c:pt idx="2678">
                  <c:v>277770.08999999997</c:v>
                </c:pt>
                <c:pt idx="2679">
                  <c:v>279770.08999999997</c:v>
                </c:pt>
                <c:pt idx="2680">
                  <c:v>282770.08999999997</c:v>
                </c:pt>
                <c:pt idx="2681">
                  <c:v>280570.08999999997</c:v>
                </c:pt>
                <c:pt idx="2682">
                  <c:v>283570.08999999997</c:v>
                </c:pt>
                <c:pt idx="2683">
                  <c:v>285570.08999999997</c:v>
                </c:pt>
                <c:pt idx="2684">
                  <c:v>282270.08999999997</c:v>
                </c:pt>
                <c:pt idx="2685">
                  <c:v>280770.08999999997</c:v>
                </c:pt>
                <c:pt idx="2686">
                  <c:v>277470.08999999997</c:v>
                </c:pt>
                <c:pt idx="2687">
                  <c:v>275270.08999999997</c:v>
                </c:pt>
                <c:pt idx="2688">
                  <c:v>276270.08999999997</c:v>
                </c:pt>
                <c:pt idx="2689">
                  <c:v>270770.08999999997</c:v>
                </c:pt>
                <c:pt idx="2690">
                  <c:v>273770.08999999997</c:v>
                </c:pt>
                <c:pt idx="2691">
                  <c:v>276770.08999999997</c:v>
                </c:pt>
                <c:pt idx="2692">
                  <c:v>279170.08999999997</c:v>
                </c:pt>
                <c:pt idx="2693">
                  <c:v>274770.08999999997</c:v>
                </c:pt>
                <c:pt idx="2694">
                  <c:v>272570.08999999997</c:v>
                </c:pt>
                <c:pt idx="2695">
                  <c:v>267070.08999999997</c:v>
                </c:pt>
                <c:pt idx="2696">
                  <c:v>262670.08999999997</c:v>
                </c:pt>
                <c:pt idx="2697">
                  <c:v>260470.08999999997</c:v>
                </c:pt>
                <c:pt idx="2698">
                  <c:v>262470.08999999997</c:v>
                </c:pt>
                <c:pt idx="2699">
                  <c:v>258070.08999999997</c:v>
                </c:pt>
                <c:pt idx="2700">
                  <c:v>261070.08999999997</c:v>
                </c:pt>
                <c:pt idx="2701">
                  <c:v>259070.08999999997</c:v>
                </c:pt>
                <c:pt idx="2702">
                  <c:v>254070.08999999997</c:v>
                </c:pt>
                <c:pt idx="2703">
                  <c:v>256986.75999999998</c:v>
                </c:pt>
                <c:pt idx="2704">
                  <c:v>260736.75999999998</c:v>
                </c:pt>
                <c:pt idx="2705">
                  <c:v>263653.76000000001</c:v>
                </c:pt>
                <c:pt idx="2706">
                  <c:v>266453.76000000001</c:v>
                </c:pt>
                <c:pt idx="2707">
                  <c:v>264253.76</c:v>
                </c:pt>
                <c:pt idx="2708">
                  <c:v>260953.76</c:v>
                </c:pt>
                <c:pt idx="2709">
                  <c:v>255453.76</c:v>
                </c:pt>
                <c:pt idx="2710">
                  <c:v>258453.76000000001</c:v>
                </c:pt>
                <c:pt idx="2711">
                  <c:v>255153.76</c:v>
                </c:pt>
                <c:pt idx="2712">
                  <c:v>258153.76</c:v>
                </c:pt>
                <c:pt idx="2713">
                  <c:v>254853.76000000001</c:v>
                </c:pt>
                <c:pt idx="2714">
                  <c:v>256853.76000000001</c:v>
                </c:pt>
                <c:pt idx="2715">
                  <c:v>254653.76</c:v>
                </c:pt>
                <c:pt idx="2716">
                  <c:v>249153.76</c:v>
                </c:pt>
                <c:pt idx="2717">
                  <c:v>246953.76</c:v>
                </c:pt>
                <c:pt idx="2718">
                  <c:v>244753.76</c:v>
                </c:pt>
                <c:pt idx="2719">
                  <c:v>244753.76</c:v>
                </c:pt>
                <c:pt idx="2720">
                  <c:v>249128.76</c:v>
                </c:pt>
                <c:pt idx="2721">
                  <c:v>252128.76</c:v>
                </c:pt>
                <c:pt idx="2722">
                  <c:v>248828.76</c:v>
                </c:pt>
                <c:pt idx="2723">
                  <c:v>245828.76</c:v>
                </c:pt>
                <c:pt idx="2724">
                  <c:v>243628.76</c:v>
                </c:pt>
                <c:pt idx="2725">
                  <c:v>246928.76</c:v>
                </c:pt>
                <c:pt idx="2726">
                  <c:v>241428.76</c:v>
                </c:pt>
                <c:pt idx="2727">
                  <c:v>240328.76</c:v>
                </c:pt>
                <c:pt idx="2728">
                  <c:v>242328.76</c:v>
                </c:pt>
                <c:pt idx="2729">
                  <c:v>245056.03</c:v>
                </c:pt>
                <c:pt idx="2730">
                  <c:v>249056.03</c:v>
                </c:pt>
                <c:pt idx="2731">
                  <c:v>245756.03</c:v>
                </c:pt>
                <c:pt idx="2732">
                  <c:v>246756.03</c:v>
                </c:pt>
                <c:pt idx="2733">
                  <c:v>249756.03</c:v>
                </c:pt>
                <c:pt idx="2734">
                  <c:v>254631.03</c:v>
                </c:pt>
                <c:pt idx="2735">
                  <c:v>251331.03</c:v>
                </c:pt>
                <c:pt idx="2736">
                  <c:v>253331.03</c:v>
                </c:pt>
                <c:pt idx="2737">
                  <c:v>256331.03</c:v>
                </c:pt>
                <c:pt idx="2738">
                  <c:v>259331.03</c:v>
                </c:pt>
                <c:pt idx="2739">
                  <c:v>258331.03</c:v>
                </c:pt>
                <c:pt idx="2740">
                  <c:v>261331.03</c:v>
                </c:pt>
                <c:pt idx="2741">
                  <c:v>259831.03</c:v>
                </c:pt>
                <c:pt idx="2742">
                  <c:v>254331.03</c:v>
                </c:pt>
                <c:pt idx="2743">
                  <c:v>252131.03</c:v>
                </c:pt>
                <c:pt idx="2744">
                  <c:v>255131.03</c:v>
                </c:pt>
                <c:pt idx="2745">
                  <c:v>258228.38</c:v>
                </c:pt>
                <c:pt idx="2746">
                  <c:v>256728.38</c:v>
                </c:pt>
                <c:pt idx="2747">
                  <c:v>261014.09</c:v>
                </c:pt>
                <c:pt idx="2748">
                  <c:v>256614.09</c:v>
                </c:pt>
                <c:pt idx="2749">
                  <c:v>253314.09</c:v>
                </c:pt>
                <c:pt idx="2750">
                  <c:v>257314.09</c:v>
                </c:pt>
                <c:pt idx="2751">
                  <c:v>252314.09</c:v>
                </c:pt>
                <c:pt idx="2752">
                  <c:v>249014.09</c:v>
                </c:pt>
                <c:pt idx="2753">
                  <c:v>245714.09</c:v>
                </c:pt>
                <c:pt idx="2754">
                  <c:v>246714.09</c:v>
                </c:pt>
                <c:pt idx="2755">
                  <c:v>244214.09</c:v>
                </c:pt>
                <c:pt idx="2756">
                  <c:v>247214.09</c:v>
                </c:pt>
                <c:pt idx="2757">
                  <c:v>250214.09</c:v>
                </c:pt>
                <c:pt idx="2758">
                  <c:v>246914.09</c:v>
                </c:pt>
                <c:pt idx="2759">
                  <c:v>249914.09</c:v>
                </c:pt>
                <c:pt idx="2760">
                  <c:v>250914.09</c:v>
                </c:pt>
                <c:pt idx="2761">
                  <c:v>252914.09</c:v>
                </c:pt>
                <c:pt idx="2762">
                  <c:v>249614.09</c:v>
                </c:pt>
                <c:pt idx="2763">
                  <c:v>244114.09</c:v>
                </c:pt>
                <c:pt idx="2764">
                  <c:v>239714.09</c:v>
                </c:pt>
                <c:pt idx="2765">
                  <c:v>242714.09</c:v>
                </c:pt>
                <c:pt idx="2766">
                  <c:v>241714.09</c:v>
                </c:pt>
                <c:pt idx="2767">
                  <c:v>245714.09</c:v>
                </c:pt>
                <c:pt idx="2768">
                  <c:v>248714.09</c:v>
                </c:pt>
                <c:pt idx="2769">
                  <c:v>251571.23</c:v>
                </c:pt>
                <c:pt idx="2770">
                  <c:v>254571.23</c:v>
                </c:pt>
                <c:pt idx="2771">
                  <c:v>254571.23</c:v>
                </c:pt>
                <c:pt idx="2772">
                  <c:v>257571.23</c:v>
                </c:pt>
                <c:pt idx="2773">
                  <c:v>259571.23</c:v>
                </c:pt>
                <c:pt idx="2774">
                  <c:v>254071.23</c:v>
                </c:pt>
                <c:pt idx="2775">
                  <c:v>250571.23</c:v>
                </c:pt>
                <c:pt idx="2776">
                  <c:v>249471.23</c:v>
                </c:pt>
                <c:pt idx="2777">
                  <c:v>256471.23</c:v>
                </c:pt>
                <c:pt idx="2778">
                  <c:v>258471.23</c:v>
                </c:pt>
                <c:pt idx="2779">
                  <c:v>262881.23</c:v>
                </c:pt>
                <c:pt idx="2780">
                  <c:v>260681.22999999998</c:v>
                </c:pt>
                <c:pt idx="2781">
                  <c:v>266181.23</c:v>
                </c:pt>
                <c:pt idx="2782">
                  <c:v>268181.23</c:v>
                </c:pt>
                <c:pt idx="2783">
                  <c:v>271097.89999999997</c:v>
                </c:pt>
                <c:pt idx="2784">
                  <c:v>273097.89999999997</c:v>
                </c:pt>
                <c:pt idx="2785">
                  <c:v>277097.89999999997</c:v>
                </c:pt>
                <c:pt idx="2786">
                  <c:v>280097.89999999997</c:v>
                </c:pt>
                <c:pt idx="2787">
                  <c:v>275697.89999999997</c:v>
                </c:pt>
                <c:pt idx="2788">
                  <c:v>278697.89999999997</c:v>
                </c:pt>
                <c:pt idx="2789">
                  <c:v>281697.89999999997</c:v>
                </c:pt>
                <c:pt idx="2790">
                  <c:v>279497.89999999997</c:v>
                </c:pt>
                <c:pt idx="2791">
                  <c:v>281497.89999999997</c:v>
                </c:pt>
                <c:pt idx="2792">
                  <c:v>287547.89999999997</c:v>
                </c:pt>
                <c:pt idx="2793">
                  <c:v>284247.89999999997</c:v>
                </c:pt>
                <c:pt idx="2794">
                  <c:v>281247.89999999997</c:v>
                </c:pt>
                <c:pt idx="2795">
                  <c:v>278747.89999999997</c:v>
                </c:pt>
                <c:pt idx="2796">
                  <c:v>274347.89999999997</c:v>
                </c:pt>
                <c:pt idx="2797">
                  <c:v>273247.89999999997</c:v>
                </c:pt>
                <c:pt idx="2798">
                  <c:v>267747.89999999997</c:v>
                </c:pt>
                <c:pt idx="2799">
                  <c:v>267747.89999999997</c:v>
                </c:pt>
                <c:pt idx="2800">
                  <c:v>272747.89999999997</c:v>
                </c:pt>
                <c:pt idx="2801">
                  <c:v>273747.89999999997</c:v>
                </c:pt>
                <c:pt idx="2802">
                  <c:v>276747.89999999997</c:v>
                </c:pt>
                <c:pt idx="2803">
                  <c:v>279747.89999999997</c:v>
                </c:pt>
                <c:pt idx="2804">
                  <c:v>282747.89999999997</c:v>
                </c:pt>
                <c:pt idx="2805">
                  <c:v>285747.89999999997</c:v>
                </c:pt>
                <c:pt idx="2806">
                  <c:v>288747.89999999997</c:v>
                </c:pt>
                <c:pt idx="2807">
                  <c:v>292081.23</c:v>
                </c:pt>
                <c:pt idx="2808">
                  <c:v>286581.23</c:v>
                </c:pt>
                <c:pt idx="2809">
                  <c:v>289624.70999999996</c:v>
                </c:pt>
                <c:pt idx="2810">
                  <c:v>286324.70999999996</c:v>
                </c:pt>
                <c:pt idx="2811">
                  <c:v>287324.70999999996</c:v>
                </c:pt>
                <c:pt idx="2812">
                  <c:v>292324.70999999996</c:v>
                </c:pt>
                <c:pt idx="2813">
                  <c:v>296224.70999999996</c:v>
                </c:pt>
                <c:pt idx="2814">
                  <c:v>299224.70999999996</c:v>
                </c:pt>
                <c:pt idx="2815">
                  <c:v>293724.70999999996</c:v>
                </c:pt>
                <c:pt idx="2816">
                  <c:v>291224.70999999996</c:v>
                </c:pt>
                <c:pt idx="2817">
                  <c:v>286824.70999999996</c:v>
                </c:pt>
                <c:pt idx="2818">
                  <c:v>283524.70999999996</c:v>
                </c:pt>
                <c:pt idx="2819">
                  <c:v>291499.70999999996</c:v>
                </c:pt>
                <c:pt idx="2820">
                  <c:v>292499.70999999996</c:v>
                </c:pt>
                <c:pt idx="2821">
                  <c:v>296499.70999999996</c:v>
                </c:pt>
                <c:pt idx="2822">
                  <c:v>296499.70999999996</c:v>
                </c:pt>
                <c:pt idx="2823">
                  <c:v>301282.70999999996</c:v>
                </c:pt>
                <c:pt idx="2824">
                  <c:v>305282.70999999996</c:v>
                </c:pt>
                <c:pt idx="2825">
                  <c:v>301982.70999999996</c:v>
                </c:pt>
                <c:pt idx="2826">
                  <c:v>300882.70999999996</c:v>
                </c:pt>
                <c:pt idx="2827">
                  <c:v>303757.70999999996</c:v>
                </c:pt>
                <c:pt idx="2828">
                  <c:v>300457.70999999996</c:v>
                </c:pt>
                <c:pt idx="2829">
                  <c:v>300457.70999999996</c:v>
                </c:pt>
                <c:pt idx="2830">
                  <c:v>300457.70999999996</c:v>
                </c:pt>
                <c:pt idx="2831">
                  <c:v>297157.70999999996</c:v>
                </c:pt>
                <c:pt idx="2832">
                  <c:v>301357.70999999996</c:v>
                </c:pt>
                <c:pt idx="2833">
                  <c:v>305643.42</c:v>
                </c:pt>
                <c:pt idx="2834">
                  <c:v>303443.42</c:v>
                </c:pt>
                <c:pt idx="2835">
                  <c:v>297943.42</c:v>
                </c:pt>
                <c:pt idx="2836">
                  <c:v>295743.42</c:v>
                </c:pt>
                <c:pt idx="2837">
                  <c:v>298743.42</c:v>
                </c:pt>
                <c:pt idx="2838">
                  <c:v>300843.42</c:v>
                </c:pt>
                <c:pt idx="2839">
                  <c:v>299743.42</c:v>
                </c:pt>
                <c:pt idx="2840">
                  <c:v>296443.42</c:v>
                </c:pt>
                <c:pt idx="2841">
                  <c:v>293143.42</c:v>
                </c:pt>
                <c:pt idx="2842">
                  <c:v>287643.42</c:v>
                </c:pt>
                <c:pt idx="2843">
                  <c:v>285443.42</c:v>
                </c:pt>
                <c:pt idx="2844">
                  <c:v>293243.42</c:v>
                </c:pt>
                <c:pt idx="2845">
                  <c:v>294243.42</c:v>
                </c:pt>
                <c:pt idx="2846">
                  <c:v>292043.42</c:v>
                </c:pt>
                <c:pt idx="2847">
                  <c:v>292043.42</c:v>
                </c:pt>
                <c:pt idx="2848">
                  <c:v>295043.42</c:v>
                </c:pt>
                <c:pt idx="2849">
                  <c:v>300043.42</c:v>
                </c:pt>
                <c:pt idx="2850">
                  <c:v>298943.42</c:v>
                </c:pt>
                <c:pt idx="2851">
                  <c:v>301986.89999999997</c:v>
                </c:pt>
                <c:pt idx="2852">
                  <c:v>304986.89999999997</c:v>
                </c:pt>
                <c:pt idx="2853">
                  <c:v>309986.89999999997</c:v>
                </c:pt>
                <c:pt idx="2854">
                  <c:v>312986.89999999997</c:v>
                </c:pt>
                <c:pt idx="2855">
                  <c:v>315986.89999999997</c:v>
                </c:pt>
                <c:pt idx="2856">
                  <c:v>313786.89999999997</c:v>
                </c:pt>
                <c:pt idx="2857">
                  <c:v>310486.89999999997</c:v>
                </c:pt>
                <c:pt idx="2858">
                  <c:v>314886.89999999997</c:v>
                </c:pt>
                <c:pt idx="2859">
                  <c:v>318886.89999999997</c:v>
                </c:pt>
                <c:pt idx="2860">
                  <c:v>316686.89999999997</c:v>
                </c:pt>
                <c:pt idx="2861">
                  <c:v>321686.89999999997</c:v>
                </c:pt>
                <c:pt idx="2862">
                  <c:v>324686.89999999997</c:v>
                </c:pt>
                <c:pt idx="2863">
                  <c:v>327386.89999999997</c:v>
                </c:pt>
                <c:pt idx="2864">
                  <c:v>324086.89999999997</c:v>
                </c:pt>
                <c:pt idx="2865">
                  <c:v>319686.89999999997</c:v>
                </c:pt>
                <c:pt idx="2866">
                  <c:v>324686.89999999997</c:v>
                </c:pt>
                <c:pt idx="2867">
                  <c:v>319186.89999999997</c:v>
                </c:pt>
                <c:pt idx="2868">
                  <c:v>322186.89999999997</c:v>
                </c:pt>
                <c:pt idx="2869">
                  <c:v>318886.89999999997</c:v>
                </c:pt>
                <c:pt idx="2870">
                  <c:v>322086.89999999997</c:v>
                </c:pt>
                <c:pt idx="2871">
                  <c:v>325049.86</c:v>
                </c:pt>
                <c:pt idx="2872">
                  <c:v>330049.86</c:v>
                </c:pt>
                <c:pt idx="2873">
                  <c:v>328249.86</c:v>
                </c:pt>
                <c:pt idx="2874">
                  <c:v>327249.86</c:v>
                </c:pt>
                <c:pt idx="2875">
                  <c:v>330249.86</c:v>
                </c:pt>
                <c:pt idx="2876">
                  <c:v>325849.86</c:v>
                </c:pt>
                <c:pt idx="2877">
                  <c:v>323649.86</c:v>
                </c:pt>
                <c:pt idx="2878">
                  <c:v>326649.86</c:v>
                </c:pt>
                <c:pt idx="2879">
                  <c:v>328649.86</c:v>
                </c:pt>
                <c:pt idx="2880">
                  <c:v>326449.86</c:v>
                </c:pt>
                <c:pt idx="2881">
                  <c:v>323149.86</c:v>
                </c:pt>
                <c:pt idx="2882">
                  <c:v>322049.86</c:v>
                </c:pt>
                <c:pt idx="2883">
                  <c:v>318749.86</c:v>
                </c:pt>
                <c:pt idx="2884">
                  <c:v>314349.86</c:v>
                </c:pt>
                <c:pt idx="2885">
                  <c:v>312149.86</c:v>
                </c:pt>
                <c:pt idx="2886">
                  <c:v>308849.86</c:v>
                </c:pt>
                <c:pt idx="2887">
                  <c:v>310849.86</c:v>
                </c:pt>
                <c:pt idx="2888">
                  <c:v>312849.86</c:v>
                </c:pt>
                <c:pt idx="2889">
                  <c:v>314849.86</c:v>
                </c:pt>
                <c:pt idx="2890">
                  <c:v>312649.86</c:v>
                </c:pt>
                <c:pt idx="2891">
                  <c:v>310449.86</c:v>
                </c:pt>
                <c:pt idx="2892">
                  <c:v>311449.86</c:v>
                </c:pt>
                <c:pt idx="2893">
                  <c:v>313449.86</c:v>
                </c:pt>
                <c:pt idx="2894">
                  <c:v>309049.86</c:v>
                </c:pt>
                <c:pt idx="2895">
                  <c:v>305749.86</c:v>
                </c:pt>
                <c:pt idx="2896">
                  <c:v>305749.86</c:v>
                </c:pt>
                <c:pt idx="2897">
                  <c:v>304649.86</c:v>
                </c:pt>
                <c:pt idx="2898">
                  <c:v>302449.86</c:v>
                </c:pt>
                <c:pt idx="2899">
                  <c:v>298049.86</c:v>
                </c:pt>
                <c:pt idx="2900">
                  <c:v>301049.86</c:v>
                </c:pt>
                <c:pt idx="2901">
                  <c:v>304049.86</c:v>
                </c:pt>
                <c:pt idx="2902">
                  <c:v>300749.86</c:v>
                </c:pt>
                <c:pt idx="2903">
                  <c:v>302749.86</c:v>
                </c:pt>
                <c:pt idx="2904">
                  <c:v>304749.86</c:v>
                </c:pt>
                <c:pt idx="2905">
                  <c:v>307749.86</c:v>
                </c:pt>
                <c:pt idx="2906">
                  <c:v>310749.86</c:v>
                </c:pt>
                <c:pt idx="2907">
                  <c:v>305749.86</c:v>
                </c:pt>
                <c:pt idx="2908">
                  <c:v>304649.86</c:v>
                </c:pt>
                <c:pt idx="2909">
                  <c:v>306649.86</c:v>
                </c:pt>
                <c:pt idx="2910">
                  <c:v>303349.86</c:v>
                </c:pt>
                <c:pt idx="2911">
                  <c:v>308349.86</c:v>
                </c:pt>
                <c:pt idx="2912">
                  <c:v>310349.86</c:v>
                </c:pt>
                <c:pt idx="2913">
                  <c:v>314349.86</c:v>
                </c:pt>
                <c:pt idx="2914">
                  <c:v>316749.86</c:v>
                </c:pt>
                <c:pt idx="2915">
                  <c:v>314549.86</c:v>
                </c:pt>
                <c:pt idx="2916">
                  <c:v>310549.86</c:v>
                </c:pt>
                <c:pt idx="2917">
                  <c:v>308349.86</c:v>
                </c:pt>
                <c:pt idx="2918">
                  <c:v>305049.86</c:v>
                </c:pt>
                <c:pt idx="2919">
                  <c:v>306049.86</c:v>
                </c:pt>
                <c:pt idx="2920">
                  <c:v>310049.86</c:v>
                </c:pt>
                <c:pt idx="2921">
                  <c:v>312049.86</c:v>
                </c:pt>
                <c:pt idx="2922">
                  <c:v>316049.86</c:v>
                </c:pt>
                <c:pt idx="2923">
                  <c:v>314049.86</c:v>
                </c:pt>
                <c:pt idx="2924">
                  <c:v>317049.86</c:v>
                </c:pt>
                <c:pt idx="2925">
                  <c:v>318049.86</c:v>
                </c:pt>
                <c:pt idx="2926">
                  <c:v>320049.86</c:v>
                </c:pt>
                <c:pt idx="2927">
                  <c:v>316749.86</c:v>
                </c:pt>
                <c:pt idx="2928">
                  <c:v>321749.86</c:v>
                </c:pt>
                <c:pt idx="2929">
                  <c:v>324749.86</c:v>
                </c:pt>
                <c:pt idx="2930">
                  <c:v>326749.86</c:v>
                </c:pt>
                <c:pt idx="2931">
                  <c:v>324549.86</c:v>
                </c:pt>
                <c:pt idx="2932">
                  <c:v>327549.86</c:v>
                </c:pt>
                <c:pt idx="2933">
                  <c:v>330158.56</c:v>
                </c:pt>
                <c:pt idx="2934">
                  <c:v>333158.56</c:v>
                </c:pt>
                <c:pt idx="2935">
                  <c:v>332058.56</c:v>
                </c:pt>
                <c:pt idx="2936">
                  <c:v>335058.56</c:v>
                </c:pt>
                <c:pt idx="2937">
                  <c:v>337058.56</c:v>
                </c:pt>
                <c:pt idx="2938">
                  <c:v>341058.56</c:v>
                </c:pt>
                <c:pt idx="2939">
                  <c:v>337758.56</c:v>
                </c:pt>
                <c:pt idx="2940">
                  <c:v>333958.56</c:v>
                </c:pt>
                <c:pt idx="2941">
                  <c:v>335958.56</c:v>
                </c:pt>
                <c:pt idx="2942">
                  <c:v>332658.56</c:v>
                </c:pt>
                <c:pt idx="2943">
                  <c:v>337658.56</c:v>
                </c:pt>
                <c:pt idx="2944">
                  <c:v>334358.56</c:v>
                </c:pt>
                <c:pt idx="2945">
                  <c:v>337608.56</c:v>
                </c:pt>
                <c:pt idx="2946">
                  <c:v>339608.56</c:v>
                </c:pt>
                <c:pt idx="2947">
                  <c:v>337408.56</c:v>
                </c:pt>
                <c:pt idx="2948">
                  <c:v>340408.56</c:v>
                </c:pt>
                <c:pt idx="2949">
                  <c:v>342075.23</c:v>
                </c:pt>
                <c:pt idx="2950">
                  <c:v>339875.23</c:v>
                </c:pt>
                <c:pt idx="2951">
                  <c:v>336125.23</c:v>
                </c:pt>
                <c:pt idx="2952">
                  <c:v>338125.23</c:v>
                </c:pt>
                <c:pt idx="2953">
                  <c:v>337025.23</c:v>
                </c:pt>
                <c:pt idx="2954">
                  <c:v>340025.23</c:v>
                </c:pt>
                <c:pt idx="2955">
                  <c:v>345025.23</c:v>
                </c:pt>
                <c:pt idx="2956">
                  <c:v>350025.23</c:v>
                </c:pt>
                <c:pt idx="2957">
                  <c:v>347825.23</c:v>
                </c:pt>
                <c:pt idx="2958">
                  <c:v>344225.23</c:v>
                </c:pt>
                <c:pt idx="2959">
                  <c:v>346225.23</c:v>
                </c:pt>
                <c:pt idx="2960">
                  <c:v>349225.23</c:v>
                </c:pt>
                <c:pt idx="2961">
                  <c:v>347025.23</c:v>
                </c:pt>
                <c:pt idx="2962">
                  <c:v>349247.44999999995</c:v>
                </c:pt>
                <c:pt idx="2963">
                  <c:v>352247.44999999995</c:v>
                </c:pt>
                <c:pt idx="2964">
                  <c:v>354247.44999999995</c:v>
                </c:pt>
                <c:pt idx="2965">
                  <c:v>352047.44999999995</c:v>
                </c:pt>
                <c:pt idx="2966">
                  <c:v>351047.44999999995</c:v>
                </c:pt>
                <c:pt idx="2967">
                  <c:v>352047.44999999995</c:v>
                </c:pt>
                <c:pt idx="2968">
                  <c:v>346547.44999999995</c:v>
                </c:pt>
                <c:pt idx="2969">
                  <c:v>350547.44999999995</c:v>
                </c:pt>
                <c:pt idx="2970">
                  <c:v>352547.44999999995</c:v>
                </c:pt>
                <c:pt idx="2971">
                  <c:v>349247.44999999995</c:v>
                </c:pt>
                <c:pt idx="2972">
                  <c:v>348247.44999999995</c:v>
                </c:pt>
                <c:pt idx="2973">
                  <c:v>351247.44999999995</c:v>
                </c:pt>
                <c:pt idx="2974">
                  <c:v>352247.44999999995</c:v>
                </c:pt>
                <c:pt idx="2975">
                  <c:v>354247.44999999995</c:v>
                </c:pt>
                <c:pt idx="2976">
                  <c:v>349847.44999999995</c:v>
                </c:pt>
                <c:pt idx="2977">
                  <c:v>354430.44999999995</c:v>
                </c:pt>
                <c:pt idx="2978">
                  <c:v>351430.44999999995</c:v>
                </c:pt>
                <c:pt idx="2979">
                  <c:v>348130.44999999995</c:v>
                </c:pt>
                <c:pt idx="2980">
                  <c:v>345930.44999999995</c:v>
                </c:pt>
                <c:pt idx="2981">
                  <c:v>348930.44999999995</c:v>
                </c:pt>
                <c:pt idx="2982">
                  <c:v>346730.44999999995</c:v>
                </c:pt>
                <c:pt idx="2983">
                  <c:v>345630.44999999995</c:v>
                </c:pt>
                <c:pt idx="2984">
                  <c:v>347630.44999999995</c:v>
                </c:pt>
                <c:pt idx="2985">
                  <c:v>344330.44999999995</c:v>
                </c:pt>
                <c:pt idx="2986">
                  <c:v>339930.44999999995</c:v>
                </c:pt>
                <c:pt idx="2987">
                  <c:v>342539.14999999997</c:v>
                </c:pt>
                <c:pt idx="2988">
                  <c:v>347539.14999999997</c:v>
                </c:pt>
                <c:pt idx="2989">
                  <c:v>345339.14999999997</c:v>
                </c:pt>
                <c:pt idx="2990">
                  <c:v>342039.14999999997</c:v>
                </c:pt>
                <c:pt idx="2991">
                  <c:v>345142.6</c:v>
                </c:pt>
                <c:pt idx="2992">
                  <c:v>348142.6</c:v>
                </c:pt>
                <c:pt idx="2993">
                  <c:v>347042.6</c:v>
                </c:pt>
                <c:pt idx="2994">
                  <c:v>343742.6</c:v>
                </c:pt>
                <c:pt idx="2995">
                  <c:v>339342.6</c:v>
                </c:pt>
                <c:pt idx="2996">
                  <c:v>337142.6</c:v>
                </c:pt>
                <c:pt idx="2997">
                  <c:v>336142.6</c:v>
                </c:pt>
                <c:pt idx="2998">
                  <c:v>332842.59999999998</c:v>
                </c:pt>
                <c:pt idx="2999">
                  <c:v>327342.59999999998</c:v>
                </c:pt>
                <c:pt idx="3000">
                  <c:v>324042.59999999998</c:v>
                </c:pt>
                <c:pt idx="3001">
                  <c:v>326042.59999999998</c:v>
                </c:pt>
                <c:pt idx="3002">
                  <c:v>325042.59999999998</c:v>
                </c:pt>
                <c:pt idx="3003">
                  <c:v>322042.59999999998</c:v>
                </c:pt>
                <c:pt idx="3004">
                  <c:v>324042.59999999998</c:v>
                </c:pt>
                <c:pt idx="3005">
                  <c:v>320742.59999999998</c:v>
                </c:pt>
                <c:pt idx="3006">
                  <c:v>322742.59999999998</c:v>
                </c:pt>
                <c:pt idx="3007">
                  <c:v>324964.59999999998</c:v>
                </c:pt>
                <c:pt idx="3008">
                  <c:v>323864.59999999998</c:v>
                </c:pt>
                <c:pt idx="3009">
                  <c:v>326864.59999999998</c:v>
                </c:pt>
                <c:pt idx="3010">
                  <c:v>321364.59999999998</c:v>
                </c:pt>
                <c:pt idx="3011">
                  <c:v>323364.59999999998</c:v>
                </c:pt>
                <c:pt idx="3012">
                  <c:v>318964.59999999998</c:v>
                </c:pt>
                <c:pt idx="3013">
                  <c:v>317964.59999999998</c:v>
                </c:pt>
                <c:pt idx="3014">
                  <c:v>314664.59999999998</c:v>
                </c:pt>
                <c:pt idx="3015">
                  <c:v>309164.59999999998</c:v>
                </c:pt>
                <c:pt idx="3016">
                  <c:v>311164.59999999998</c:v>
                </c:pt>
                <c:pt idx="3017">
                  <c:v>307864.59999999998</c:v>
                </c:pt>
                <c:pt idx="3018">
                  <c:v>308864.59999999998</c:v>
                </c:pt>
                <c:pt idx="3019">
                  <c:v>313214.59999999998</c:v>
                </c:pt>
                <c:pt idx="3020">
                  <c:v>311014.59999999998</c:v>
                </c:pt>
                <c:pt idx="3021">
                  <c:v>313014.59999999998</c:v>
                </c:pt>
                <c:pt idx="3022">
                  <c:v>310814.59999999998</c:v>
                </c:pt>
                <c:pt idx="3023">
                  <c:v>313814.59999999998</c:v>
                </c:pt>
                <c:pt idx="3024">
                  <c:v>319314.59999999998</c:v>
                </c:pt>
                <c:pt idx="3025">
                  <c:v>317114.59999999998</c:v>
                </c:pt>
                <c:pt idx="3026">
                  <c:v>313814.59999999998</c:v>
                </c:pt>
                <c:pt idx="3027">
                  <c:v>312814.59999999998</c:v>
                </c:pt>
                <c:pt idx="3028">
                  <c:v>310614.59999999998</c:v>
                </c:pt>
                <c:pt idx="3029">
                  <c:v>306214.59999999998</c:v>
                </c:pt>
                <c:pt idx="3030">
                  <c:v>308214.59999999998</c:v>
                </c:pt>
                <c:pt idx="3031">
                  <c:v>303814.59999999998</c:v>
                </c:pt>
                <c:pt idx="3032">
                  <c:v>308814.59999999998</c:v>
                </c:pt>
                <c:pt idx="3033">
                  <c:v>305514.59999999998</c:v>
                </c:pt>
                <c:pt idx="3034">
                  <c:v>308514.59999999998</c:v>
                </c:pt>
                <c:pt idx="3035">
                  <c:v>313514.59999999998</c:v>
                </c:pt>
                <c:pt idx="3036">
                  <c:v>312414.59999999998</c:v>
                </c:pt>
                <c:pt idx="3037">
                  <c:v>309114.59999999998</c:v>
                </c:pt>
                <c:pt idx="3038">
                  <c:v>306114.59999999998</c:v>
                </c:pt>
                <c:pt idx="3039">
                  <c:v>308114.59999999998</c:v>
                </c:pt>
                <c:pt idx="3040">
                  <c:v>310114.59999999998</c:v>
                </c:pt>
                <c:pt idx="3041">
                  <c:v>312723.3</c:v>
                </c:pt>
                <c:pt idx="3042">
                  <c:v>315723.3</c:v>
                </c:pt>
                <c:pt idx="3043">
                  <c:v>312723.3</c:v>
                </c:pt>
                <c:pt idx="3044">
                  <c:v>310523.3</c:v>
                </c:pt>
                <c:pt idx="3045">
                  <c:v>312523.3</c:v>
                </c:pt>
                <c:pt idx="3046">
                  <c:v>313523.3</c:v>
                </c:pt>
                <c:pt idx="3047">
                  <c:v>310223.3</c:v>
                </c:pt>
                <c:pt idx="3048">
                  <c:v>311923.3</c:v>
                </c:pt>
                <c:pt idx="3049">
                  <c:v>313741.3</c:v>
                </c:pt>
                <c:pt idx="3050">
                  <c:v>315810.26999999996</c:v>
                </c:pt>
                <c:pt idx="3051">
                  <c:v>317810.26999999996</c:v>
                </c:pt>
                <c:pt idx="3052">
                  <c:v>321810.26999999996</c:v>
                </c:pt>
                <c:pt idx="3053">
                  <c:v>325884.26999999996</c:v>
                </c:pt>
                <c:pt idx="3054">
                  <c:v>322584.26999999996</c:v>
                </c:pt>
                <c:pt idx="3055">
                  <c:v>321484.26999999996</c:v>
                </c:pt>
                <c:pt idx="3056">
                  <c:v>318984.26999999996</c:v>
                </c:pt>
                <c:pt idx="3057">
                  <c:v>316784.26999999996</c:v>
                </c:pt>
                <c:pt idx="3058">
                  <c:v>318784.26999999996</c:v>
                </c:pt>
                <c:pt idx="3059">
                  <c:v>316584.26999999996</c:v>
                </c:pt>
                <c:pt idx="3060">
                  <c:v>313584.26999999996</c:v>
                </c:pt>
                <c:pt idx="3061">
                  <c:v>315584.26999999996</c:v>
                </c:pt>
                <c:pt idx="3062">
                  <c:v>313384.26999999996</c:v>
                </c:pt>
                <c:pt idx="3063">
                  <c:v>311184.26999999996</c:v>
                </c:pt>
                <c:pt idx="3064">
                  <c:v>308984.26999999996</c:v>
                </c:pt>
                <c:pt idx="3065">
                  <c:v>311984.26999999996</c:v>
                </c:pt>
                <c:pt idx="3066">
                  <c:v>314984.26999999996</c:v>
                </c:pt>
                <c:pt idx="3067">
                  <c:v>313884.26999999996</c:v>
                </c:pt>
                <c:pt idx="3068">
                  <c:v>310584.26999999996</c:v>
                </c:pt>
                <c:pt idx="3069">
                  <c:v>307584.26999999996</c:v>
                </c:pt>
                <c:pt idx="3070">
                  <c:v>307584.26999999996</c:v>
                </c:pt>
                <c:pt idx="3071">
                  <c:v>302084.26999999996</c:v>
                </c:pt>
                <c:pt idx="3072">
                  <c:v>306209.26999999996</c:v>
                </c:pt>
                <c:pt idx="3073">
                  <c:v>308209.26999999996</c:v>
                </c:pt>
                <c:pt idx="3074">
                  <c:v>310209.26999999996</c:v>
                </c:pt>
                <c:pt idx="3075">
                  <c:v>313252.26999999996</c:v>
                </c:pt>
                <c:pt idx="3076">
                  <c:v>309952.26999999996</c:v>
                </c:pt>
                <c:pt idx="3077">
                  <c:v>310952.26999999996</c:v>
                </c:pt>
                <c:pt idx="3078">
                  <c:v>307652.26999999996</c:v>
                </c:pt>
                <c:pt idx="3079">
                  <c:v>302152.26999999996</c:v>
                </c:pt>
                <c:pt idx="3080">
                  <c:v>298652.26999999996</c:v>
                </c:pt>
                <c:pt idx="3081">
                  <c:v>300652.26999999996</c:v>
                </c:pt>
                <c:pt idx="3082">
                  <c:v>302652.26999999996</c:v>
                </c:pt>
                <c:pt idx="3083">
                  <c:v>301552.26999999996</c:v>
                </c:pt>
                <c:pt idx="3084">
                  <c:v>300452.26999999996</c:v>
                </c:pt>
                <c:pt idx="3085">
                  <c:v>303452.26999999996</c:v>
                </c:pt>
                <c:pt idx="3086">
                  <c:v>302352.26999999996</c:v>
                </c:pt>
                <c:pt idx="3087">
                  <c:v>305352.26999999996</c:v>
                </c:pt>
                <c:pt idx="3088">
                  <c:v>302352.26999999996</c:v>
                </c:pt>
                <c:pt idx="3089">
                  <c:v>306018.93999999994</c:v>
                </c:pt>
                <c:pt idx="3090">
                  <c:v>303818.93999999994</c:v>
                </c:pt>
                <c:pt idx="3091">
                  <c:v>306818.93999999994</c:v>
                </c:pt>
                <c:pt idx="3092">
                  <c:v>309818.93999999994</c:v>
                </c:pt>
                <c:pt idx="3093">
                  <c:v>306818.93999999994</c:v>
                </c:pt>
                <c:pt idx="3094">
                  <c:v>307818.93999999994</c:v>
                </c:pt>
                <c:pt idx="3095">
                  <c:v>309818.93999999994</c:v>
                </c:pt>
                <c:pt idx="3096">
                  <c:v>314818.93999999994</c:v>
                </c:pt>
                <c:pt idx="3097">
                  <c:v>312618.93999999994</c:v>
                </c:pt>
                <c:pt idx="3098">
                  <c:v>315618.93999999994</c:v>
                </c:pt>
                <c:pt idx="3099">
                  <c:v>312318.93999999994</c:v>
                </c:pt>
                <c:pt idx="3100">
                  <c:v>309018.93999999994</c:v>
                </c:pt>
                <c:pt idx="3101">
                  <c:v>312618.93999999994</c:v>
                </c:pt>
                <c:pt idx="3102">
                  <c:v>314718.93999999994</c:v>
                </c:pt>
                <c:pt idx="3103">
                  <c:v>317718.93999999994</c:v>
                </c:pt>
                <c:pt idx="3104">
                  <c:v>320718.93999999994</c:v>
                </c:pt>
                <c:pt idx="3105">
                  <c:v>323718.93999999994</c:v>
                </c:pt>
                <c:pt idx="3106">
                  <c:v>325718.93999999994</c:v>
                </c:pt>
                <c:pt idx="3107">
                  <c:v>324718.93999999994</c:v>
                </c:pt>
                <c:pt idx="3108">
                  <c:v>319218.93999999994</c:v>
                </c:pt>
                <c:pt idx="3109">
                  <c:v>318118.93999999994</c:v>
                </c:pt>
                <c:pt idx="3110">
                  <c:v>319118.93999999994</c:v>
                </c:pt>
                <c:pt idx="3111">
                  <c:v>315818.93999999994</c:v>
                </c:pt>
                <c:pt idx="3112">
                  <c:v>310318.93999999994</c:v>
                </c:pt>
                <c:pt idx="3113">
                  <c:v>312318.93999999994</c:v>
                </c:pt>
                <c:pt idx="3114">
                  <c:v>315318.93999999994</c:v>
                </c:pt>
                <c:pt idx="3115">
                  <c:v>312318.93999999994</c:v>
                </c:pt>
                <c:pt idx="3116">
                  <c:v>315318.93999999994</c:v>
                </c:pt>
                <c:pt idx="3117">
                  <c:v>312018.93999999994</c:v>
                </c:pt>
                <c:pt idx="3118">
                  <c:v>308418.93999999994</c:v>
                </c:pt>
                <c:pt idx="3119">
                  <c:v>307318.93999999994</c:v>
                </c:pt>
                <c:pt idx="3120">
                  <c:v>312318.93999999994</c:v>
                </c:pt>
                <c:pt idx="3121">
                  <c:v>309018.93999999994</c:v>
                </c:pt>
                <c:pt idx="3122">
                  <c:v>311018.93999999994</c:v>
                </c:pt>
                <c:pt idx="3123">
                  <c:v>316393.93999999994</c:v>
                </c:pt>
                <c:pt idx="3124">
                  <c:v>319393.93999999994</c:v>
                </c:pt>
                <c:pt idx="3125">
                  <c:v>317193.93999999994</c:v>
                </c:pt>
                <c:pt idx="3126">
                  <c:v>320193.93999999994</c:v>
                </c:pt>
                <c:pt idx="3127">
                  <c:v>317993.93999999994</c:v>
                </c:pt>
                <c:pt idx="3128">
                  <c:v>315493.93999999994</c:v>
                </c:pt>
                <c:pt idx="3129">
                  <c:v>320276.54999999993</c:v>
                </c:pt>
                <c:pt idx="3130">
                  <c:v>321276.54999999993</c:v>
                </c:pt>
                <c:pt idx="3131">
                  <c:v>324151.54999999993</c:v>
                </c:pt>
                <c:pt idx="3132">
                  <c:v>326151.54999999993</c:v>
                </c:pt>
                <c:pt idx="3133">
                  <c:v>330934.15999999992</c:v>
                </c:pt>
                <c:pt idx="3134">
                  <c:v>333934.15999999992</c:v>
                </c:pt>
                <c:pt idx="3135">
                  <c:v>331734.15999999992</c:v>
                </c:pt>
                <c:pt idx="3136">
                  <c:v>327234.15999999992</c:v>
                </c:pt>
                <c:pt idx="3137">
                  <c:v>322834.15999999992</c:v>
                </c:pt>
                <c:pt idx="3138">
                  <c:v>321724.15999999992</c:v>
                </c:pt>
                <c:pt idx="3139">
                  <c:v>322724.15999999992</c:v>
                </c:pt>
                <c:pt idx="3140">
                  <c:v>325724.15999999992</c:v>
                </c:pt>
                <c:pt idx="3141">
                  <c:v>329724.15999999992</c:v>
                </c:pt>
                <c:pt idx="3142">
                  <c:v>332724.15999999992</c:v>
                </c:pt>
                <c:pt idx="3143">
                  <c:v>327224.15999999992</c:v>
                </c:pt>
                <c:pt idx="3144">
                  <c:v>331224.15999999992</c:v>
                </c:pt>
                <c:pt idx="3145">
                  <c:v>326724.15999999992</c:v>
                </c:pt>
                <c:pt idx="3146">
                  <c:v>329724.15999999992</c:v>
                </c:pt>
                <c:pt idx="3147">
                  <c:v>324224.15999999992</c:v>
                </c:pt>
                <c:pt idx="3148">
                  <c:v>320724.15999999992</c:v>
                </c:pt>
                <c:pt idx="3149">
                  <c:v>318524.15999999992</c:v>
                </c:pt>
                <c:pt idx="3150">
                  <c:v>320524.15999999992</c:v>
                </c:pt>
                <c:pt idx="3151">
                  <c:v>322524.15999999992</c:v>
                </c:pt>
                <c:pt idx="3152">
                  <c:v>321424.15999999992</c:v>
                </c:pt>
                <c:pt idx="3153">
                  <c:v>323924.15999999992</c:v>
                </c:pt>
                <c:pt idx="3154">
                  <c:v>318424.15999999992</c:v>
                </c:pt>
                <c:pt idx="3155">
                  <c:v>320337.1999999999</c:v>
                </c:pt>
                <c:pt idx="3156">
                  <c:v>323973.55999999988</c:v>
                </c:pt>
                <c:pt idx="3157">
                  <c:v>325653.55999999988</c:v>
                </c:pt>
                <c:pt idx="3158">
                  <c:v>322353.55999999988</c:v>
                </c:pt>
                <c:pt idx="3159">
                  <c:v>319053.55999999988</c:v>
                </c:pt>
                <c:pt idx="3160">
                  <c:v>322053.55999999988</c:v>
                </c:pt>
                <c:pt idx="3161">
                  <c:v>317653.55999999988</c:v>
                </c:pt>
                <c:pt idx="3162">
                  <c:v>312153.55999999988</c:v>
                </c:pt>
                <c:pt idx="3163">
                  <c:v>309953.55999999988</c:v>
                </c:pt>
                <c:pt idx="3164">
                  <c:v>307753.55999999988</c:v>
                </c:pt>
                <c:pt idx="3165">
                  <c:v>304453.55999999988</c:v>
                </c:pt>
                <c:pt idx="3166">
                  <c:v>300053.55999999988</c:v>
                </c:pt>
                <c:pt idx="3167">
                  <c:v>298953.55999999988</c:v>
                </c:pt>
                <c:pt idx="3168">
                  <c:v>301953.55999999988</c:v>
                </c:pt>
                <c:pt idx="3169">
                  <c:v>299753.55999999988</c:v>
                </c:pt>
                <c:pt idx="3170">
                  <c:v>302753.55999999988</c:v>
                </c:pt>
                <c:pt idx="3171">
                  <c:v>305753.55999999988</c:v>
                </c:pt>
                <c:pt idx="3172">
                  <c:v>307704.77999999985</c:v>
                </c:pt>
                <c:pt idx="3173">
                  <c:v>302204.77999999985</c:v>
                </c:pt>
                <c:pt idx="3174">
                  <c:v>300204.77999999985</c:v>
                </c:pt>
                <c:pt idx="3175">
                  <c:v>296904.77999999985</c:v>
                </c:pt>
                <c:pt idx="3176">
                  <c:v>291404.77999999985</c:v>
                </c:pt>
                <c:pt idx="3177">
                  <c:v>289204.77999999985</c:v>
                </c:pt>
                <c:pt idx="3178">
                  <c:v>293865.79999999987</c:v>
                </c:pt>
                <c:pt idx="3179">
                  <c:v>293365.79999999987</c:v>
                </c:pt>
                <c:pt idx="3180">
                  <c:v>293971.79999999987</c:v>
                </c:pt>
                <c:pt idx="3181">
                  <c:v>294406.79999999987</c:v>
                </c:pt>
                <c:pt idx="3182">
                  <c:v>295456.79999999987</c:v>
                </c:pt>
                <c:pt idx="3183">
                  <c:v>297456.79999999987</c:v>
                </c:pt>
                <c:pt idx="3184">
                  <c:v>299456.79999999987</c:v>
                </c:pt>
                <c:pt idx="3185">
                  <c:v>301456.79999999987</c:v>
                </c:pt>
                <c:pt idx="3186">
                  <c:v>299256.79999999987</c:v>
                </c:pt>
                <c:pt idx="3187">
                  <c:v>301256.79999999987</c:v>
                </c:pt>
                <c:pt idx="3188">
                  <c:v>304256.79999999987</c:v>
                </c:pt>
                <c:pt idx="3189">
                  <c:v>306256.79999999987</c:v>
                </c:pt>
                <c:pt idx="3190">
                  <c:v>308256.79999999987</c:v>
                </c:pt>
                <c:pt idx="3191">
                  <c:v>307156.79999999987</c:v>
                </c:pt>
                <c:pt idx="3192">
                  <c:v>302756.79999999987</c:v>
                </c:pt>
                <c:pt idx="3193">
                  <c:v>299456.79999999987</c:v>
                </c:pt>
                <c:pt idx="3194">
                  <c:v>300456.79999999987</c:v>
                </c:pt>
                <c:pt idx="3195">
                  <c:v>302525.76999999984</c:v>
                </c:pt>
                <c:pt idx="3196">
                  <c:v>300325.76999999984</c:v>
                </c:pt>
                <c:pt idx="3197">
                  <c:v>302325.76999999984</c:v>
                </c:pt>
                <c:pt idx="3198">
                  <c:v>300125.76999999984</c:v>
                </c:pt>
                <c:pt idx="3199">
                  <c:v>301125.76999999984</c:v>
                </c:pt>
                <c:pt idx="3200">
                  <c:v>298925.76999999984</c:v>
                </c:pt>
                <c:pt idx="3201">
                  <c:v>296425.76999999984</c:v>
                </c:pt>
                <c:pt idx="3202">
                  <c:v>293425.76999999984</c:v>
                </c:pt>
                <c:pt idx="3203">
                  <c:v>296425.76999999984</c:v>
                </c:pt>
                <c:pt idx="3204">
                  <c:v>301208.37999999983</c:v>
                </c:pt>
                <c:pt idx="3205">
                  <c:v>298208.37999999983</c:v>
                </c:pt>
                <c:pt idx="3206">
                  <c:v>300208.37999999983</c:v>
                </c:pt>
                <c:pt idx="3207">
                  <c:v>301208.37999999983</c:v>
                </c:pt>
                <c:pt idx="3208">
                  <c:v>299208.37999999983</c:v>
                </c:pt>
                <c:pt idx="3209">
                  <c:v>301208.37999999983</c:v>
                </c:pt>
                <c:pt idx="3210">
                  <c:v>302808.37999999983</c:v>
                </c:pt>
                <c:pt idx="3211">
                  <c:v>301708.37999999983</c:v>
                </c:pt>
                <c:pt idx="3212">
                  <c:v>303708.37999999983</c:v>
                </c:pt>
                <c:pt idx="3213">
                  <c:v>300408.37999999983</c:v>
                </c:pt>
                <c:pt idx="3214">
                  <c:v>298208.37999999983</c:v>
                </c:pt>
                <c:pt idx="3215">
                  <c:v>296008.37999999983</c:v>
                </c:pt>
                <c:pt idx="3216">
                  <c:v>296008.37999999983</c:v>
                </c:pt>
                <c:pt idx="3217">
                  <c:v>293808.37999999983</c:v>
                </c:pt>
                <c:pt idx="3218">
                  <c:v>298808.37999999983</c:v>
                </c:pt>
                <c:pt idx="3219">
                  <c:v>296608.37999999983</c:v>
                </c:pt>
                <c:pt idx="3220">
                  <c:v>299608.37999999983</c:v>
                </c:pt>
                <c:pt idx="3221">
                  <c:v>300608.37999999983</c:v>
                </c:pt>
                <c:pt idx="3222">
                  <c:v>298408.37999999983</c:v>
                </c:pt>
                <c:pt idx="3223">
                  <c:v>295108.37999999983</c:v>
                </c:pt>
                <c:pt idx="3224">
                  <c:v>298708.37999999983</c:v>
                </c:pt>
                <c:pt idx="3225">
                  <c:v>295408.37999999983</c:v>
                </c:pt>
                <c:pt idx="3226">
                  <c:v>298408.37999999983</c:v>
                </c:pt>
                <c:pt idx="3227">
                  <c:v>299408.37999999983</c:v>
                </c:pt>
                <c:pt idx="3228">
                  <c:v>297208.37999999983</c:v>
                </c:pt>
                <c:pt idx="3229">
                  <c:v>298408.37999999983</c:v>
                </c:pt>
                <c:pt idx="3230">
                  <c:v>301408.37999999983</c:v>
                </c:pt>
                <c:pt idx="3231">
                  <c:v>305201.47999999981</c:v>
                </c:pt>
                <c:pt idx="3232">
                  <c:v>307201.47999999981</c:v>
                </c:pt>
                <c:pt idx="3233">
                  <c:v>309296.7199999998</c:v>
                </c:pt>
                <c:pt idx="3234">
                  <c:v>311296.7199999998</c:v>
                </c:pt>
                <c:pt idx="3235">
                  <c:v>309096.7199999998</c:v>
                </c:pt>
                <c:pt idx="3236">
                  <c:v>307996.7199999998</c:v>
                </c:pt>
                <c:pt idx="3237">
                  <c:v>305796.7199999998</c:v>
                </c:pt>
                <c:pt idx="3238">
                  <c:v>303596.7199999998</c:v>
                </c:pt>
                <c:pt idx="3239">
                  <c:v>305596.7199999998</c:v>
                </c:pt>
                <c:pt idx="3240">
                  <c:v>308596.7199999998</c:v>
                </c:pt>
                <c:pt idx="3241">
                  <c:v>306596.7199999998</c:v>
                </c:pt>
                <c:pt idx="3242">
                  <c:v>305596.7199999998</c:v>
                </c:pt>
                <c:pt idx="3243">
                  <c:v>307596.7199999998</c:v>
                </c:pt>
                <c:pt idx="3244">
                  <c:v>304296.7199999998</c:v>
                </c:pt>
                <c:pt idx="3245">
                  <c:v>302096.7199999998</c:v>
                </c:pt>
                <c:pt idx="3246">
                  <c:v>297696.7199999998</c:v>
                </c:pt>
                <c:pt idx="3247">
                  <c:v>299696.7199999998</c:v>
                </c:pt>
                <c:pt idx="3248">
                  <c:v>296396.7199999998</c:v>
                </c:pt>
                <c:pt idx="3249">
                  <c:v>299313.7199999998</c:v>
                </c:pt>
                <c:pt idx="3250">
                  <c:v>300313.7199999998</c:v>
                </c:pt>
                <c:pt idx="3251">
                  <c:v>299813.7199999998</c:v>
                </c:pt>
                <c:pt idx="3252">
                  <c:v>302813.7199999998</c:v>
                </c:pt>
                <c:pt idx="3253">
                  <c:v>300613.7199999998</c:v>
                </c:pt>
                <c:pt idx="3254">
                  <c:v>295113.7199999998</c:v>
                </c:pt>
                <c:pt idx="3255">
                  <c:v>297113.7199999998</c:v>
                </c:pt>
                <c:pt idx="3256">
                  <c:v>293813.7199999998</c:v>
                </c:pt>
                <c:pt idx="3257">
                  <c:v>288313.7199999998</c:v>
                </c:pt>
                <c:pt idx="3258">
                  <c:v>291113.7199999998</c:v>
                </c:pt>
                <c:pt idx="3259">
                  <c:v>294113.7199999998</c:v>
                </c:pt>
                <c:pt idx="3260">
                  <c:v>296386.44999999978</c:v>
                </c:pt>
                <c:pt idx="3261">
                  <c:v>299386.44999999978</c:v>
                </c:pt>
                <c:pt idx="3262">
                  <c:v>297186.44999999978</c:v>
                </c:pt>
                <c:pt idx="3263">
                  <c:v>294186.44999999978</c:v>
                </c:pt>
                <c:pt idx="3264">
                  <c:v>297186.44999999978</c:v>
                </c:pt>
                <c:pt idx="3265">
                  <c:v>299186.44999999978</c:v>
                </c:pt>
                <c:pt idx="3266">
                  <c:v>300436.44999999978</c:v>
                </c:pt>
                <c:pt idx="3267">
                  <c:v>297136.44999999978</c:v>
                </c:pt>
                <c:pt idx="3268">
                  <c:v>297136.44999999978</c:v>
                </c:pt>
                <c:pt idx="3269">
                  <c:v>301036.44999999978</c:v>
                </c:pt>
                <c:pt idx="3270">
                  <c:v>303210.35999999975</c:v>
                </c:pt>
                <c:pt idx="3271">
                  <c:v>306210.35999999975</c:v>
                </c:pt>
                <c:pt idx="3272">
                  <c:v>307210.35999999975</c:v>
                </c:pt>
                <c:pt idx="3273">
                  <c:v>307210.35999999975</c:v>
                </c:pt>
                <c:pt idx="3274">
                  <c:v>305710.35999999975</c:v>
                </c:pt>
                <c:pt idx="3275">
                  <c:v>303510.35999999975</c:v>
                </c:pt>
                <c:pt idx="3276">
                  <c:v>306553.83999999973</c:v>
                </c:pt>
                <c:pt idx="3277">
                  <c:v>309162.53999999975</c:v>
                </c:pt>
                <c:pt idx="3278">
                  <c:v>312462.53999999975</c:v>
                </c:pt>
                <c:pt idx="3279">
                  <c:v>316212.53999999975</c:v>
                </c:pt>
                <c:pt idx="3280">
                  <c:v>321212.53999999975</c:v>
                </c:pt>
                <c:pt idx="3281">
                  <c:v>322212.53999999975</c:v>
                </c:pt>
                <c:pt idx="3282">
                  <c:v>325812.53999999975</c:v>
                </c:pt>
                <c:pt idx="3283">
                  <c:v>328812.53999999975</c:v>
                </c:pt>
                <c:pt idx="3284">
                  <c:v>326312.53999999975</c:v>
                </c:pt>
                <c:pt idx="3285">
                  <c:v>324112.53999999975</c:v>
                </c:pt>
                <c:pt idx="3286">
                  <c:v>326112.53999999975</c:v>
                </c:pt>
                <c:pt idx="3287">
                  <c:v>322912.53999999975</c:v>
                </c:pt>
                <c:pt idx="3288">
                  <c:v>325912.53999999975</c:v>
                </c:pt>
                <c:pt idx="3289">
                  <c:v>330912.53999999975</c:v>
                </c:pt>
                <c:pt idx="3290">
                  <c:v>332912.53999999975</c:v>
                </c:pt>
                <c:pt idx="3291">
                  <c:v>335912.53999999975</c:v>
                </c:pt>
                <c:pt idx="3292">
                  <c:v>338912.53999999975</c:v>
                </c:pt>
                <c:pt idx="3293">
                  <c:v>341912.53999999975</c:v>
                </c:pt>
                <c:pt idx="3294">
                  <c:v>343912.53999999975</c:v>
                </c:pt>
                <c:pt idx="3295">
                  <c:v>341712.53999999975</c:v>
                </c:pt>
                <c:pt idx="3296">
                  <c:v>338412.53999999975</c:v>
                </c:pt>
                <c:pt idx="3297">
                  <c:v>338412.53999999975</c:v>
                </c:pt>
                <c:pt idx="3298">
                  <c:v>332912.53999999975</c:v>
                </c:pt>
                <c:pt idx="3299">
                  <c:v>331812.53999999975</c:v>
                </c:pt>
                <c:pt idx="3300">
                  <c:v>328812.53999999975</c:v>
                </c:pt>
                <c:pt idx="3301">
                  <c:v>325212.53999999975</c:v>
                </c:pt>
                <c:pt idx="3302">
                  <c:v>321712.53999999975</c:v>
                </c:pt>
                <c:pt idx="3303">
                  <c:v>323712.53999999975</c:v>
                </c:pt>
                <c:pt idx="3304">
                  <c:v>320412.53999999975</c:v>
                </c:pt>
                <c:pt idx="3305">
                  <c:v>322412.53999999975</c:v>
                </c:pt>
                <c:pt idx="3306">
                  <c:v>322412.53999999975</c:v>
                </c:pt>
                <c:pt idx="3307">
                  <c:v>323412.53999999975</c:v>
                </c:pt>
                <c:pt idx="3308">
                  <c:v>326412.53999999975</c:v>
                </c:pt>
                <c:pt idx="3309">
                  <c:v>328412.53999999975</c:v>
                </c:pt>
                <c:pt idx="3310">
                  <c:v>325112.53999999975</c:v>
                </c:pt>
                <c:pt idx="3311">
                  <c:v>322912.53999999975</c:v>
                </c:pt>
                <c:pt idx="3312">
                  <c:v>319612.53999999975</c:v>
                </c:pt>
                <c:pt idx="3313">
                  <c:v>319112.53999999975</c:v>
                </c:pt>
                <c:pt idx="3314">
                  <c:v>321112.53999999975</c:v>
                </c:pt>
                <c:pt idx="3315">
                  <c:v>320012.53999999975</c:v>
                </c:pt>
                <c:pt idx="3316">
                  <c:v>323012.53999999975</c:v>
                </c:pt>
                <c:pt idx="3317">
                  <c:v>319712.53999999975</c:v>
                </c:pt>
                <c:pt idx="3318">
                  <c:v>322712.53999999975</c:v>
                </c:pt>
                <c:pt idx="3319">
                  <c:v>320512.53999999975</c:v>
                </c:pt>
                <c:pt idx="3320">
                  <c:v>320512.53999999975</c:v>
                </c:pt>
                <c:pt idx="3321">
                  <c:v>320512.53999999975</c:v>
                </c:pt>
                <c:pt idx="3322">
                  <c:v>317212.53999999975</c:v>
                </c:pt>
                <c:pt idx="3323">
                  <c:v>321141.10999999975</c:v>
                </c:pt>
                <c:pt idx="3324">
                  <c:v>317841.10999999975</c:v>
                </c:pt>
                <c:pt idx="3325">
                  <c:v>314841.10999999975</c:v>
                </c:pt>
                <c:pt idx="3326">
                  <c:v>311541.10999999975</c:v>
                </c:pt>
                <c:pt idx="3327">
                  <c:v>309341.10999999975</c:v>
                </c:pt>
                <c:pt idx="3328">
                  <c:v>312341.10999999975</c:v>
                </c:pt>
                <c:pt idx="3329">
                  <c:v>313341.10999999975</c:v>
                </c:pt>
                <c:pt idx="3330">
                  <c:v>316341.10999999975</c:v>
                </c:pt>
                <c:pt idx="3331">
                  <c:v>314141.10999999975</c:v>
                </c:pt>
                <c:pt idx="3332">
                  <c:v>309741.10999999975</c:v>
                </c:pt>
                <c:pt idx="3333">
                  <c:v>310741.10999999975</c:v>
                </c:pt>
                <c:pt idx="3334">
                  <c:v>308541.10999999975</c:v>
                </c:pt>
                <c:pt idx="3335">
                  <c:v>306341.10999999975</c:v>
                </c:pt>
                <c:pt idx="3336">
                  <c:v>309341.10999999975</c:v>
                </c:pt>
                <c:pt idx="3337">
                  <c:v>312341.10999999975</c:v>
                </c:pt>
                <c:pt idx="3338">
                  <c:v>310141.10999999975</c:v>
                </c:pt>
                <c:pt idx="3339">
                  <c:v>306841.10999999975</c:v>
                </c:pt>
                <c:pt idx="3340">
                  <c:v>308841.10999999975</c:v>
                </c:pt>
                <c:pt idx="3341">
                  <c:v>311841.10999999975</c:v>
                </c:pt>
                <c:pt idx="3342">
                  <c:v>314698.24999999977</c:v>
                </c:pt>
                <c:pt idx="3343">
                  <c:v>314698.24999999977</c:v>
                </c:pt>
                <c:pt idx="3344">
                  <c:v>312498.24999999977</c:v>
                </c:pt>
                <c:pt idx="3345">
                  <c:v>310298.24999999977</c:v>
                </c:pt>
                <c:pt idx="3346">
                  <c:v>306998.24999999977</c:v>
                </c:pt>
                <c:pt idx="3347">
                  <c:v>307998.24999999977</c:v>
                </c:pt>
                <c:pt idx="3348">
                  <c:v>305798.24999999977</c:v>
                </c:pt>
                <c:pt idx="3349">
                  <c:v>307798.24999999977</c:v>
                </c:pt>
                <c:pt idx="3350">
                  <c:v>310798.24999999977</c:v>
                </c:pt>
                <c:pt idx="3351">
                  <c:v>312798.24999999977</c:v>
                </c:pt>
                <c:pt idx="3352">
                  <c:v>309498.24999999977</c:v>
                </c:pt>
                <c:pt idx="3353">
                  <c:v>310498.24999999977</c:v>
                </c:pt>
                <c:pt idx="3354">
                  <c:v>313106.94999999978</c:v>
                </c:pt>
                <c:pt idx="3355">
                  <c:v>316106.94999999978</c:v>
                </c:pt>
                <c:pt idx="3356">
                  <c:v>321106.94999999978</c:v>
                </c:pt>
                <c:pt idx="3357">
                  <c:v>323106.94999999978</c:v>
                </c:pt>
                <c:pt idx="3358">
                  <c:v>326106.94999999978</c:v>
                </c:pt>
                <c:pt idx="3359">
                  <c:v>329106.94999999978</c:v>
                </c:pt>
                <c:pt idx="3360">
                  <c:v>325606.94999999978</c:v>
                </c:pt>
                <c:pt idx="3361">
                  <c:v>322606.94999999978</c:v>
                </c:pt>
                <c:pt idx="3362">
                  <c:v>323656.94999999978</c:v>
                </c:pt>
                <c:pt idx="3363">
                  <c:v>326656.94999999978</c:v>
                </c:pt>
                <c:pt idx="3364">
                  <c:v>323656.94999999978</c:v>
                </c:pt>
                <c:pt idx="3365">
                  <c:v>325475.12999999977</c:v>
                </c:pt>
                <c:pt idx="3366">
                  <c:v>328475.12999999977</c:v>
                </c:pt>
                <c:pt idx="3367">
                  <c:v>326275.12999999977</c:v>
                </c:pt>
                <c:pt idx="3368">
                  <c:v>329275.12999999977</c:v>
                </c:pt>
                <c:pt idx="3369">
                  <c:v>330275.12999999977</c:v>
                </c:pt>
                <c:pt idx="3370">
                  <c:v>333275.12999999977</c:v>
                </c:pt>
                <c:pt idx="3371">
                  <c:v>336753.38999999978</c:v>
                </c:pt>
                <c:pt idx="3372">
                  <c:v>338753.38999999978</c:v>
                </c:pt>
                <c:pt idx="3373">
                  <c:v>343753.38999999978</c:v>
                </c:pt>
                <c:pt idx="3374">
                  <c:v>342653.38999999978</c:v>
                </c:pt>
                <c:pt idx="3375">
                  <c:v>343693.38999999978</c:v>
                </c:pt>
                <c:pt idx="3376">
                  <c:v>345836.38999999978</c:v>
                </c:pt>
                <c:pt idx="3377">
                  <c:v>343336.38999999978</c:v>
                </c:pt>
                <c:pt idx="3378">
                  <c:v>346336.38999999978</c:v>
                </c:pt>
                <c:pt idx="3379">
                  <c:v>343336.38999999978</c:v>
                </c:pt>
                <c:pt idx="3380">
                  <c:v>340036.38999999978</c:v>
                </c:pt>
                <c:pt idx="3381">
                  <c:v>338936.38999999978</c:v>
                </c:pt>
                <c:pt idx="3382">
                  <c:v>335636.38999999978</c:v>
                </c:pt>
                <c:pt idx="3383">
                  <c:v>338969.7199999998</c:v>
                </c:pt>
                <c:pt idx="3384">
                  <c:v>336769.7199999998</c:v>
                </c:pt>
                <c:pt idx="3385">
                  <c:v>336769.7199999998</c:v>
                </c:pt>
                <c:pt idx="3386">
                  <c:v>334569.7199999998</c:v>
                </c:pt>
                <c:pt idx="3387">
                  <c:v>336569.7199999998</c:v>
                </c:pt>
                <c:pt idx="3388">
                  <c:v>339569.7199999998</c:v>
                </c:pt>
                <c:pt idx="3389">
                  <c:v>341690.7199999998</c:v>
                </c:pt>
                <c:pt idx="3390">
                  <c:v>338390.7199999998</c:v>
                </c:pt>
                <c:pt idx="3391">
                  <c:v>341390.7199999998</c:v>
                </c:pt>
                <c:pt idx="3392">
                  <c:v>342390.7199999998</c:v>
                </c:pt>
                <c:pt idx="3393">
                  <c:v>346974.04999999981</c:v>
                </c:pt>
                <c:pt idx="3394">
                  <c:v>344774.04999999981</c:v>
                </c:pt>
                <c:pt idx="3395">
                  <c:v>341474.04999999981</c:v>
                </c:pt>
                <c:pt idx="3396">
                  <c:v>344550.9699999998</c:v>
                </c:pt>
                <c:pt idx="3397">
                  <c:v>341050.9699999998</c:v>
                </c:pt>
                <c:pt idx="3398">
                  <c:v>343050.9699999998</c:v>
                </c:pt>
                <c:pt idx="3399">
                  <c:v>345050.9699999998</c:v>
                </c:pt>
                <c:pt idx="3400">
                  <c:v>348800.9699999998</c:v>
                </c:pt>
                <c:pt idx="3401">
                  <c:v>351800.9699999998</c:v>
                </c:pt>
                <c:pt idx="3402">
                  <c:v>351800.9699999998</c:v>
                </c:pt>
                <c:pt idx="3403">
                  <c:v>352800.9699999998</c:v>
                </c:pt>
                <c:pt idx="3404">
                  <c:v>355800.9699999998</c:v>
                </c:pt>
                <c:pt idx="3405">
                  <c:v>358800.9699999998</c:v>
                </c:pt>
                <c:pt idx="3406">
                  <c:v>361800.9699999998</c:v>
                </c:pt>
                <c:pt idx="3407">
                  <c:v>359600.9699999998</c:v>
                </c:pt>
                <c:pt idx="3408">
                  <c:v>361600.9699999998</c:v>
                </c:pt>
                <c:pt idx="3409">
                  <c:v>364600.9699999998</c:v>
                </c:pt>
                <c:pt idx="3410">
                  <c:v>361300.9699999998</c:v>
                </c:pt>
                <c:pt idx="3411">
                  <c:v>363300.9699999998</c:v>
                </c:pt>
                <c:pt idx="3412">
                  <c:v>364300.9699999998</c:v>
                </c:pt>
                <c:pt idx="3413">
                  <c:v>364300.9699999998</c:v>
                </c:pt>
                <c:pt idx="3414">
                  <c:v>364300.9699999998</c:v>
                </c:pt>
                <c:pt idx="3415">
                  <c:v>362100.9699999998</c:v>
                </c:pt>
                <c:pt idx="3416">
                  <c:v>359100.9699999998</c:v>
                </c:pt>
                <c:pt idx="3417">
                  <c:v>356900.9699999998</c:v>
                </c:pt>
                <c:pt idx="3418">
                  <c:v>355900.9699999998</c:v>
                </c:pt>
                <c:pt idx="3419">
                  <c:v>352600.9699999998</c:v>
                </c:pt>
                <c:pt idx="3420">
                  <c:v>356600.9699999998</c:v>
                </c:pt>
                <c:pt idx="3421">
                  <c:v>355500.9699999998</c:v>
                </c:pt>
                <c:pt idx="3422">
                  <c:v>358500.9699999998</c:v>
                </c:pt>
                <c:pt idx="3423">
                  <c:v>361500.9699999998</c:v>
                </c:pt>
                <c:pt idx="3424">
                  <c:v>358200.9699999998</c:v>
                </c:pt>
                <c:pt idx="3425">
                  <c:v>356000.9699999998</c:v>
                </c:pt>
                <c:pt idx="3426">
                  <c:v>358800.9699999998</c:v>
                </c:pt>
                <c:pt idx="3427">
                  <c:v>356300.9699999998</c:v>
                </c:pt>
                <c:pt idx="3428">
                  <c:v>359300.9699999998</c:v>
                </c:pt>
                <c:pt idx="3429">
                  <c:v>353800.9699999998</c:v>
                </c:pt>
                <c:pt idx="3430">
                  <c:v>356225.20999999979</c:v>
                </c:pt>
                <c:pt idx="3431">
                  <c:v>352925.20999999979</c:v>
                </c:pt>
                <c:pt idx="3432">
                  <c:v>349625.20999999979</c:v>
                </c:pt>
                <c:pt idx="3433">
                  <c:v>347425.20999999979</c:v>
                </c:pt>
                <c:pt idx="3434">
                  <c:v>351499.2799999998</c:v>
                </c:pt>
                <c:pt idx="3435">
                  <c:v>349299.2799999998</c:v>
                </c:pt>
                <c:pt idx="3436">
                  <c:v>351299.2799999998</c:v>
                </c:pt>
                <c:pt idx="3437">
                  <c:v>345799.2799999998</c:v>
                </c:pt>
                <c:pt idx="3438">
                  <c:v>346799.2799999998</c:v>
                </c:pt>
                <c:pt idx="3439">
                  <c:v>349799.2799999998</c:v>
                </c:pt>
                <c:pt idx="3440">
                  <c:v>354799.2799999998</c:v>
                </c:pt>
                <c:pt idx="3441">
                  <c:v>357799.2799999998</c:v>
                </c:pt>
                <c:pt idx="3442">
                  <c:v>355599.2799999998</c:v>
                </c:pt>
                <c:pt idx="3443">
                  <c:v>358599.2799999998</c:v>
                </c:pt>
                <c:pt idx="3444">
                  <c:v>356399.2799999998</c:v>
                </c:pt>
                <c:pt idx="3445">
                  <c:v>351999.2799999998</c:v>
                </c:pt>
                <c:pt idx="3446">
                  <c:v>353999.2799999998</c:v>
                </c:pt>
                <c:pt idx="3447">
                  <c:v>354999.2799999998</c:v>
                </c:pt>
                <c:pt idx="3448">
                  <c:v>356999.2799999998</c:v>
                </c:pt>
                <c:pt idx="3449">
                  <c:v>363874.2799999998</c:v>
                </c:pt>
                <c:pt idx="3450">
                  <c:v>360574.2799999998</c:v>
                </c:pt>
                <c:pt idx="3451">
                  <c:v>358374.2799999998</c:v>
                </c:pt>
                <c:pt idx="3452">
                  <c:v>355074.2799999998</c:v>
                </c:pt>
                <c:pt idx="3453">
                  <c:v>355074.2799999998</c:v>
                </c:pt>
                <c:pt idx="3454">
                  <c:v>359657.60999999981</c:v>
                </c:pt>
                <c:pt idx="3455">
                  <c:v>362657.60999999981</c:v>
                </c:pt>
                <c:pt idx="3456">
                  <c:v>362657.60999999981</c:v>
                </c:pt>
                <c:pt idx="3457">
                  <c:v>359157.60999999981</c:v>
                </c:pt>
                <c:pt idx="3458">
                  <c:v>362157.60999999981</c:v>
                </c:pt>
                <c:pt idx="3459">
                  <c:v>364157.60999999981</c:v>
                </c:pt>
                <c:pt idx="3460">
                  <c:v>358657.60999999981</c:v>
                </c:pt>
                <c:pt idx="3461">
                  <c:v>355157.60999999981</c:v>
                </c:pt>
                <c:pt idx="3462">
                  <c:v>360157.60999999981</c:v>
                </c:pt>
                <c:pt idx="3463">
                  <c:v>356857.60999999981</c:v>
                </c:pt>
                <c:pt idx="3464">
                  <c:v>359031.51999999979</c:v>
                </c:pt>
                <c:pt idx="3465">
                  <c:v>357931.51999999979</c:v>
                </c:pt>
                <c:pt idx="3466">
                  <c:v>353531.51999999979</c:v>
                </c:pt>
                <c:pt idx="3467">
                  <c:v>354531.51999999979</c:v>
                </c:pt>
                <c:pt idx="3468">
                  <c:v>357531.51999999979</c:v>
                </c:pt>
                <c:pt idx="3469">
                  <c:v>352031.51999999979</c:v>
                </c:pt>
                <c:pt idx="3470">
                  <c:v>352531.51999999979</c:v>
                </c:pt>
                <c:pt idx="3471">
                  <c:v>351531.51999999979</c:v>
                </c:pt>
                <c:pt idx="3472">
                  <c:v>350531.51999999979</c:v>
                </c:pt>
                <c:pt idx="3473">
                  <c:v>355114.8499999998</c:v>
                </c:pt>
                <c:pt idx="3474">
                  <c:v>354014.8499999998</c:v>
                </c:pt>
                <c:pt idx="3475">
                  <c:v>352714.8499999998</c:v>
                </c:pt>
                <c:pt idx="3476">
                  <c:v>351064.8499999998</c:v>
                </c:pt>
                <c:pt idx="3477">
                  <c:v>349514.8499999998</c:v>
                </c:pt>
                <c:pt idx="3478">
                  <c:v>350514.8499999998</c:v>
                </c:pt>
                <c:pt idx="3479">
                  <c:v>351514.8499999998</c:v>
                </c:pt>
                <c:pt idx="3480">
                  <c:v>352514.8499999998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9-4F9F-A2AB-36E89EC53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275807"/>
        <c:axId val="1898267071"/>
      </c:lineChart>
      <c:catAx>
        <c:axId val="189827580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98267071"/>
        <c:crosses val="autoZero"/>
        <c:auto val="1"/>
        <c:lblAlgn val="ctr"/>
        <c:lblOffset val="100"/>
        <c:noMultiLvlLbl val="0"/>
      </c:catAx>
      <c:valAx>
        <c:axId val="1898267071"/>
        <c:scaling>
          <c:orientation val="minMax"/>
          <c:min val="-10000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898275807"/>
        <c:crosses val="autoZero"/>
        <c:crossBetween val="between"/>
        <c:majorUnit val="25000"/>
        <c:minorUnit val="1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https://freddywills.com/records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5.svg"/><Relationship Id="rId5" Type="http://schemas.openxmlformats.org/officeDocument/2006/relationships/image" Target="../media/image4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419101</xdr:colOff>
      <xdr:row>0</xdr:row>
      <xdr:rowOff>152400</xdr:rowOff>
    </xdr:from>
    <xdr:to>
      <xdr:col>6</xdr:col>
      <xdr:colOff>96840</xdr:colOff>
      <xdr:row>6</xdr:row>
      <xdr:rowOff>171449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C45D6B-8A3A-4763-9217-88E41B7E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1" y="152400"/>
          <a:ext cx="5726114" cy="1162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</xdr:row>
      <xdr:rowOff>190501</xdr:rowOff>
    </xdr:from>
    <xdr:to>
      <xdr:col>6</xdr:col>
      <xdr:colOff>514349</xdr:colOff>
      <xdr:row>22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3E8C5FE-F39E-4AAA-B8A3-6BC8FE6AF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2076451</xdr:colOff>
      <xdr:row>22</xdr:row>
      <xdr:rowOff>47626</xdr:rowOff>
    </xdr:from>
    <xdr:to>
      <xdr:col>5</xdr:col>
      <xdr:colOff>123825</xdr:colOff>
      <xdr:row>32</xdr:row>
      <xdr:rowOff>152400</xdr:rowOff>
    </xdr:to>
    <xdr:pic>
      <xdr:nvPicPr>
        <xdr:cNvPr id="28" name="Graphic 27" descr="Upward trend with solid fill">
          <a:extLst>
            <a:ext uri="{FF2B5EF4-FFF2-40B4-BE49-F238E27FC236}">
              <a16:creationId xmlns:a16="http://schemas.microsoft.com/office/drawing/2014/main" id="{D5D6F032-58E9-4A13-96ED-4F5602623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724276" y="4381501"/>
          <a:ext cx="2009774" cy="20097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142875</xdr:rowOff>
    </xdr:from>
    <xdr:to>
      <xdr:col>1</xdr:col>
      <xdr:colOff>314325</xdr:colOff>
      <xdr:row>27</xdr:row>
      <xdr:rowOff>104775</xdr:rowOff>
    </xdr:to>
    <xdr:pic>
      <xdr:nvPicPr>
        <xdr:cNvPr id="30" name="Graphic 29" descr="Clipboard Checked with solid fill">
          <a:extLst>
            <a:ext uri="{FF2B5EF4-FFF2-40B4-BE49-F238E27FC236}">
              <a16:creationId xmlns:a16="http://schemas.microsoft.com/office/drawing/2014/main" id="{891545B5-26FE-4D04-A5A2-C48B64F90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0" y="4476750"/>
          <a:ext cx="914400" cy="914400"/>
        </a:xfrm>
        <a:prstGeom prst="rect">
          <a:avLst/>
        </a:prstGeom>
      </xdr:spPr>
    </xdr:pic>
    <xdr:clientData/>
  </xdr:twoCellAnchor>
  <xdr:oneCellAnchor>
    <xdr:from>
      <xdr:col>5</xdr:col>
      <xdr:colOff>24775</xdr:colOff>
      <xdr:row>26</xdr:row>
      <xdr:rowOff>2673</xdr:rowOff>
    </xdr:from>
    <xdr:ext cx="3065134" cy="405432"/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F845C09D-B750-43CC-B88F-6FED243E501B}"/>
            </a:ext>
          </a:extLst>
        </xdr:cNvPr>
        <xdr:cNvSpPr/>
      </xdr:nvSpPr>
      <xdr:spPr>
        <a:xfrm>
          <a:off x="5635000" y="5098548"/>
          <a:ext cx="3065134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0"/>
              <a:solidFill>
                <a:srgbClr val="0066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9 out 12 profitable seasons</a:t>
          </a:r>
        </a:p>
      </xdr:txBody>
    </xdr:sp>
    <xdr:clientData/>
  </xdr:oneCellAnchor>
  <xdr:oneCellAnchor>
    <xdr:from>
      <xdr:col>4</xdr:col>
      <xdr:colOff>430964</xdr:colOff>
      <xdr:row>27</xdr:row>
      <xdr:rowOff>85725</xdr:rowOff>
    </xdr:from>
    <xdr:ext cx="3119957" cy="342786"/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E9E0996B-6BB5-4612-870B-B5EE0A3C4F3E}"/>
            </a:ext>
          </a:extLst>
        </xdr:cNvPr>
        <xdr:cNvSpPr/>
      </xdr:nvSpPr>
      <xdr:spPr>
        <a:xfrm>
          <a:off x="5564939" y="5372100"/>
          <a:ext cx="3119957" cy="342786"/>
        </a:xfrm>
        <a:prstGeom prst="rect">
          <a:avLst/>
        </a:prstGeom>
        <a:noFill/>
        <a:effectLst>
          <a:glow rad="101600">
            <a:schemeClr val="accent4">
              <a:satMod val="175000"/>
              <a:alpha val="40000"/>
            </a:schemeClr>
          </a:glo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1" cap="none" spc="0">
              <a:ln w="0"/>
              <a:solidFill>
                <a:srgbClr val="0066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Avg.</a:t>
          </a:r>
          <a:r>
            <a:rPr lang="en-US" sz="1600" b="1" cap="none" spc="0" baseline="0">
              <a:ln w="0"/>
              <a:solidFill>
                <a:srgbClr val="0066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+48.74% ROI in winning years</a:t>
          </a:r>
          <a:endParaRPr lang="en-US" sz="1600" b="1" cap="none" spc="0">
            <a:ln w="0"/>
            <a:solidFill>
              <a:srgbClr val="0066FF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356697</xdr:colOff>
      <xdr:row>29</xdr:row>
      <xdr:rowOff>95250</xdr:rowOff>
    </xdr:from>
    <xdr:ext cx="3272306" cy="530658"/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5E2A631A-B752-4BF8-8811-9039A2584A9D}"/>
            </a:ext>
          </a:extLst>
        </xdr:cNvPr>
        <xdr:cNvSpPr/>
      </xdr:nvSpPr>
      <xdr:spPr>
        <a:xfrm>
          <a:off x="5490672" y="5762625"/>
          <a:ext cx="3272306" cy="530658"/>
        </a:xfrm>
        <a:prstGeom prst="rect">
          <a:avLst/>
        </a:prstGeom>
        <a:noFill/>
        <a:effectLst>
          <a:glow rad="101600">
            <a:schemeClr val="accent4">
              <a:satMod val="175000"/>
              <a:alpha val="40000"/>
            </a:schemeClr>
          </a:glo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0"/>
              <a:solidFill>
                <a:srgbClr val="0066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+$352K Career Profit</a:t>
          </a:r>
        </a:p>
      </xdr:txBody>
    </xdr:sp>
    <xdr:clientData/>
  </xdr:oneCellAnchor>
  <xdr:oneCellAnchor>
    <xdr:from>
      <xdr:col>5</xdr:col>
      <xdr:colOff>55853</xdr:colOff>
      <xdr:row>22</xdr:row>
      <xdr:rowOff>171450</xdr:rowOff>
    </xdr:from>
    <xdr:ext cx="3005696" cy="468013"/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C49ADE6A-DAB8-4E6F-9DC1-7E5CA883458D}"/>
            </a:ext>
          </a:extLst>
        </xdr:cNvPr>
        <xdr:cNvSpPr/>
      </xdr:nvSpPr>
      <xdr:spPr>
        <a:xfrm>
          <a:off x="5666078" y="4505325"/>
          <a:ext cx="3005696" cy="468013"/>
        </a:xfrm>
        <a:prstGeom prst="rect">
          <a:avLst/>
        </a:prstGeom>
        <a:noFill/>
        <a:effectLst>
          <a:glow rad="101600">
            <a:schemeClr val="accent4">
              <a:satMod val="175000"/>
              <a:alpha val="40000"/>
            </a:schemeClr>
          </a:glo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0"/>
              <a:solidFill>
                <a:srgbClr val="0066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Over</a:t>
          </a:r>
          <a:r>
            <a:rPr lang="en-US" sz="2400" b="1" cap="none" spc="0" baseline="0">
              <a:ln w="0"/>
              <a:solidFill>
                <a:srgbClr val="0066FF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3,500 Total Picks</a:t>
          </a:r>
          <a:endParaRPr lang="en-US" sz="2400" b="1" cap="none" spc="0">
            <a:ln w="0"/>
            <a:solidFill>
              <a:srgbClr val="0066FF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123656</xdr:colOff>
      <xdr:row>22</xdr:row>
      <xdr:rowOff>164598</xdr:rowOff>
    </xdr:from>
    <xdr:ext cx="2905475" cy="405432"/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C744842E-F15C-42AD-A1A5-3AAA2F505A32}"/>
            </a:ext>
          </a:extLst>
        </xdr:cNvPr>
        <xdr:cNvSpPr/>
      </xdr:nvSpPr>
      <xdr:spPr>
        <a:xfrm>
          <a:off x="723731" y="4498473"/>
          <a:ext cx="2905475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000" b="1" cap="none" spc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100%</a:t>
          </a:r>
          <a:r>
            <a:rPr lang="en-US" sz="2000" b="1" cap="none" spc="0" baseline="0">
              <a:ln w="0"/>
              <a:solidFill>
                <a:schemeClr val="tx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Honesty &amp; Integrity</a:t>
          </a:r>
          <a:endParaRPr lang="en-US" sz="2000" b="1" cap="none" spc="0">
            <a:ln w="0"/>
            <a:solidFill>
              <a:schemeClr val="tx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102386</xdr:colOff>
      <xdr:row>24</xdr:row>
      <xdr:rowOff>145548</xdr:rowOff>
    </xdr:from>
    <xdr:ext cx="3043269" cy="280205"/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E367AEA2-DEE6-4184-A5A6-BA7724871E61}"/>
            </a:ext>
          </a:extLst>
        </xdr:cNvPr>
        <xdr:cNvSpPr/>
      </xdr:nvSpPr>
      <xdr:spPr>
        <a:xfrm>
          <a:off x="702461" y="4860423"/>
          <a:ext cx="3043269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Picks released in records table at kickoff time.</a:t>
          </a:r>
        </a:p>
      </xdr:txBody>
    </xdr:sp>
    <xdr:clientData/>
  </xdr:oneCellAnchor>
  <xdr:oneCellAnchor>
    <xdr:from>
      <xdr:col>0</xdr:col>
      <xdr:colOff>533400</xdr:colOff>
      <xdr:row>27</xdr:row>
      <xdr:rowOff>95251</xdr:rowOff>
    </xdr:from>
    <xdr:ext cx="3467100" cy="280205"/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3906E7CF-45D9-42BE-9F2F-EBEA1E0C1174}"/>
            </a:ext>
          </a:extLst>
        </xdr:cNvPr>
        <xdr:cNvSpPr/>
      </xdr:nvSpPr>
      <xdr:spPr>
        <a:xfrm>
          <a:off x="533400" y="5381626"/>
          <a:ext cx="3467100" cy="28020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Picks released to Twitter &amp; Facebook at kickoff.</a:t>
          </a:r>
        </a:p>
      </xdr:txBody>
    </xdr:sp>
    <xdr:clientData/>
  </xdr:oneCellAnchor>
  <xdr:oneCellAnchor>
    <xdr:from>
      <xdr:col>1</xdr:col>
      <xdr:colOff>88349</xdr:colOff>
      <xdr:row>26</xdr:row>
      <xdr:rowOff>38100</xdr:rowOff>
    </xdr:from>
    <xdr:ext cx="2629181" cy="280205"/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843840B1-B17A-4BB0-85F4-EAF6B7936571}"/>
            </a:ext>
          </a:extLst>
        </xdr:cNvPr>
        <xdr:cNvSpPr/>
      </xdr:nvSpPr>
      <xdr:spPr>
        <a:xfrm>
          <a:off x="688424" y="5133975"/>
          <a:ext cx="2629181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Exportable archived analysis</a:t>
          </a:r>
          <a:r>
            <a:rPr 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&amp; results.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</xdr:col>
      <xdr:colOff>63228</xdr:colOff>
      <xdr:row>29</xdr:row>
      <xdr:rowOff>9525</xdr:rowOff>
    </xdr:from>
    <xdr:ext cx="3041346" cy="280205"/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E676C74D-770C-44EF-81E8-369EACD9F602}"/>
            </a:ext>
          </a:extLst>
        </xdr:cNvPr>
        <xdr:cNvSpPr/>
      </xdr:nvSpPr>
      <xdr:spPr>
        <a:xfrm>
          <a:off x="663303" y="5676900"/>
          <a:ext cx="3041346" cy="28020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Third party sports pick monitoring</a:t>
          </a:r>
          <a:r>
            <a:rPr lang="en-US" sz="1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every year.</a:t>
          </a:r>
          <a:endParaRPr lang="en-US" sz="1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0</xdr:col>
      <xdr:colOff>228126</xdr:colOff>
      <xdr:row>30</xdr:row>
      <xdr:rowOff>171450</xdr:rowOff>
    </xdr:from>
    <xdr:ext cx="2787751" cy="342786"/>
    <xdr:sp macro="" textlink="">
      <xdr:nvSpPr>
        <xdr:cNvPr id="43" name="Rectangle 4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CA4DF02-5737-433C-BA94-3F4874A980B9}"/>
            </a:ext>
          </a:extLst>
        </xdr:cNvPr>
        <xdr:cNvSpPr/>
      </xdr:nvSpPr>
      <xdr:spPr>
        <a:xfrm>
          <a:off x="228126" y="6029325"/>
          <a:ext cx="2787751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Visit - </a:t>
          </a:r>
          <a:r>
            <a:rPr lang="en-US" sz="1600" b="1" cap="none" spc="0">
              <a:ln w="0"/>
              <a:solidFill>
                <a:srgbClr val="0066FF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freddywills.com/records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w\Downloads\Freddywills's_Records_-_08-03-2021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reddywills's_Records_-_08-03-2"/>
    </sheetNames>
    <sheetDataSet>
      <sheetData sheetId="0"/>
      <sheetData sheetId="1">
        <row r="2">
          <cell r="J2" t="str">
            <v>career profit</v>
          </cell>
        </row>
        <row r="3">
          <cell r="J3">
            <v>0</v>
          </cell>
        </row>
        <row r="4">
          <cell r="J4">
            <v>-1100</v>
          </cell>
        </row>
        <row r="5">
          <cell r="J5">
            <v>900</v>
          </cell>
        </row>
        <row r="6">
          <cell r="J6">
            <v>3900</v>
          </cell>
        </row>
        <row r="7">
          <cell r="J7">
            <v>5900</v>
          </cell>
        </row>
        <row r="8">
          <cell r="J8">
            <v>5900</v>
          </cell>
        </row>
        <row r="9">
          <cell r="J9">
            <v>7900</v>
          </cell>
        </row>
        <row r="10">
          <cell r="J10">
            <v>4600</v>
          </cell>
        </row>
        <row r="11">
          <cell r="J11">
            <v>7600</v>
          </cell>
        </row>
        <row r="12">
          <cell r="J12">
            <v>5400</v>
          </cell>
        </row>
        <row r="13">
          <cell r="J13">
            <v>2100</v>
          </cell>
        </row>
        <row r="14">
          <cell r="J14">
            <v>-900</v>
          </cell>
        </row>
        <row r="15">
          <cell r="J15">
            <v>-900</v>
          </cell>
        </row>
        <row r="16">
          <cell r="J16">
            <v>-2900</v>
          </cell>
        </row>
        <row r="17">
          <cell r="J17">
            <v>-1990.9099999999999</v>
          </cell>
        </row>
        <row r="18">
          <cell r="J18">
            <v>1645.4500000000003</v>
          </cell>
        </row>
        <row r="19">
          <cell r="J19">
            <v>-854.54999999999973</v>
          </cell>
        </row>
        <row r="20">
          <cell r="J20">
            <v>2145.4500000000003</v>
          </cell>
        </row>
        <row r="21">
          <cell r="J21">
            <v>-1154.5499999999997</v>
          </cell>
        </row>
        <row r="22">
          <cell r="J22">
            <v>845.45000000000027</v>
          </cell>
        </row>
        <row r="23">
          <cell r="J23">
            <v>-2454.5499999999997</v>
          </cell>
        </row>
        <row r="24">
          <cell r="J24">
            <v>-3554.5499999999997</v>
          </cell>
        </row>
        <row r="25">
          <cell r="J25">
            <v>-6854.5499999999993</v>
          </cell>
        </row>
        <row r="26">
          <cell r="J26">
            <v>-2854.5499999999993</v>
          </cell>
        </row>
        <row r="27">
          <cell r="J27">
            <v>1145.4500000000007</v>
          </cell>
        </row>
        <row r="28">
          <cell r="J28">
            <v>3145.4500000000007</v>
          </cell>
        </row>
        <row r="29">
          <cell r="J29">
            <v>-154.54999999999927</v>
          </cell>
        </row>
        <row r="30">
          <cell r="J30">
            <v>845.45000000000073</v>
          </cell>
        </row>
        <row r="31">
          <cell r="J31">
            <v>-3554.5499999999993</v>
          </cell>
        </row>
        <row r="32">
          <cell r="J32">
            <v>-6054.5499999999993</v>
          </cell>
        </row>
        <row r="33">
          <cell r="J33">
            <v>-3054.5499999999993</v>
          </cell>
        </row>
        <row r="34">
          <cell r="J34">
            <v>945.45000000000073</v>
          </cell>
        </row>
        <row r="35">
          <cell r="J35">
            <v>-1254.5499999999993</v>
          </cell>
        </row>
        <row r="36">
          <cell r="J36">
            <v>1745.4500000000007</v>
          </cell>
        </row>
        <row r="37">
          <cell r="J37">
            <v>2745.4500000000007</v>
          </cell>
        </row>
        <row r="38">
          <cell r="J38">
            <v>5745.4500000000007</v>
          </cell>
        </row>
        <row r="39">
          <cell r="J39">
            <v>7745.4500000000007</v>
          </cell>
        </row>
        <row r="40">
          <cell r="J40">
            <v>3345.4500000000007</v>
          </cell>
        </row>
        <row r="41">
          <cell r="J41">
            <v>1145.4500000000007</v>
          </cell>
        </row>
        <row r="42">
          <cell r="J42">
            <v>-2354.5499999999993</v>
          </cell>
        </row>
        <row r="43">
          <cell r="J43">
            <v>-536.36999999999921</v>
          </cell>
        </row>
        <row r="44">
          <cell r="J44">
            <v>2645.4500000000007</v>
          </cell>
        </row>
        <row r="45">
          <cell r="J45">
            <v>-1854.5499999999993</v>
          </cell>
        </row>
        <row r="46">
          <cell r="J46">
            <v>-5854.5499999999993</v>
          </cell>
        </row>
        <row r="47">
          <cell r="J47">
            <v>-3581.8199999999993</v>
          </cell>
        </row>
        <row r="48">
          <cell r="J48">
            <v>-1763.6399999999992</v>
          </cell>
        </row>
        <row r="49">
          <cell r="J49">
            <v>54.540000000000873</v>
          </cell>
        </row>
        <row r="50">
          <cell r="J50">
            <v>-1045.4599999999991</v>
          </cell>
        </row>
        <row r="51">
          <cell r="J51">
            <v>-45.459999999999127</v>
          </cell>
        </row>
        <row r="52">
          <cell r="J52">
            <v>-2545.4599999999991</v>
          </cell>
        </row>
        <row r="53">
          <cell r="J53">
            <v>181.81000000000085</v>
          </cell>
        </row>
        <row r="54">
          <cell r="J54">
            <v>3818.170000000001</v>
          </cell>
        </row>
        <row r="55">
          <cell r="J55">
            <v>818.17000000000098</v>
          </cell>
        </row>
        <row r="56">
          <cell r="J56">
            <v>-181.82999999999902</v>
          </cell>
        </row>
        <row r="57">
          <cell r="J57">
            <v>-3181.829999999999</v>
          </cell>
        </row>
        <row r="58">
          <cell r="J58">
            <v>-6181.829999999999</v>
          </cell>
        </row>
        <row r="59">
          <cell r="J59">
            <v>-2090.9199999999992</v>
          </cell>
        </row>
        <row r="60">
          <cell r="J60">
            <v>181.81000000000085</v>
          </cell>
        </row>
        <row r="61">
          <cell r="J61">
            <v>1545.450000000001</v>
          </cell>
        </row>
        <row r="62">
          <cell r="J62">
            <v>-1454.549999999999</v>
          </cell>
        </row>
        <row r="63">
          <cell r="J63">
            <v>-5454.5499999999993</v>
          </cell>
        </row>
        <row r="64">
          <cell r="J64">
            <v>-1818.1899999999991</v>
          </cell>
        </row>
        <row r="65">
          <cell r="J65">
            <v>-4818.1899999999987</v>
          </cell>
        </row>
        <row r="66">
          <cell r="J66">
            <v>-1636.3699999999985</v>
          </cell>
        </row>
        <row r="67">
          <cell r="J67">
            <v>-3136.3699999999985</v>
          </cell>
        </row>
        <row r="68">
          <cell r="J68">
            <v>-6136.369999999999</v>
          </cell>
        </row>
        <row r="69">
          <cell r="J69">
            <v>-5227.2799999999988</v>
          </cell>
        </row>
        <row r="70">
          <cell r="J70">
            <v>-1590.9199999999987</v>
          </cell>
        </row>
        <row r="71">
          <cell r="J71">
            <v>2499.9900000000011</v>
          </cell>
        </row>
        <row r="72">
          <cell r="J72">
            <v>-1000.0099999999989</v>
          </cell>
        </row>
        <row r="73">
          <cell r="J73">
            <v>2049.9900000000011</v>
          </cell>
        </row>
        <row r="74">
          <cell r="J74">
            <v>4658.6900000000005</v>
          </cell>
        </row>
        <row r="75">
          <cell r="J75">
            <v>9204.14</v>
          </cell>
        </row>
        <row r="76">
          <cell r="J76">
            <v>9204.14</v>
          </cell>
        </row>
        <row r="77">
          <cell r="J77">
            <v>10567.779999999999</v>
          </cell>
        </row>
        <row r="78">
          <cell r="J78">
            <v>14658.689999999999</v>
          </cell>
        </row>
        <row r="79">
          <cell r="J79">
            <v>13658.689999999999</v>
          </cell>
        </row>
        <row r="80">
          <cell r="J80">
            <v>10158.689999999999</v>
          </cell>
        </row>
        <row r="81">
          <cell r="J81">
            <v>6658.6899999999987</v>
          </cell>
        </row>
        <row r="82">
          <cell r="J82">
            <v>2658.6899999999987</v>
          </cell>
        </row>
        <row r="83">
          <cell r="J83">
            <v>5385.9599999999991</v>
          </cell>
        </row>
        <row r="84">
          <cell r="J84">
            <v>8429.4399999999987</v>
          </cell>
        </row>
        <row r="85">
          <cell r="J85">
            <v>5929.4399999999987</v>
          </cell>
        </row>
        <row r="86">
          <cell r="J86">
            <v>9565.7999999999993</v>
          </cell>
        </row>
        <row r="87">
          <cell r="J87">
            <v>6565.7999999999993</v>
          </cell>
        </row>
        <row r="88">
          <cell r="J88">
            <v>11111.25</v>
          </cell>
        </row>
        <row r="89">
          <cell r="J89">
            <v>14920.77</v>
          </cell>
        </row>
        <row r="90">
          <cell r="J90">
            <v>13420.77</v>
          </cell>
        </row>
        <row r="91">
          <cell r="J91">
            <v>16602.59</v>
          </cell>
        </row>
        <row r="92">
          <cell r="J92">
            <v>17511.68</v>
          </cell>
        </row>
        <row r="93">
          <cell r="J93">
            <v>12511.68</v>
          </cell>
        </row>
        <row r="94">
          <cell r="J94">
            <v>9511.68</v>
          </cell>
        </row>
        <row r="95">
          <cell r="J95">
            <v>5011.68</v>
          </cell>
        </row>
        <row r="96">
          <cell r="J96">
            <v>1011.6800000000003</v>
          </cell>
        </row>
        <row r="97">
          <cell r="J97">
            <v>-1988.3199999999997</v>
          </cell>
        </row>
        <row r="98">
          <cell r="J98">
            <v>-5988.32</v>
          </cell>
        </row>
        <row r="99">
          <cell r="J99">
            <v>-3715.5899999999997</v>
          </cell>
        </row>
        <row r="100">
          <cell r="J100">
            <v>-5715.59</v>
          </cell>
        </row>
        <row r="101">
          <cell r="J101">
            <v>-1624.6800000000003</v>
          </cell>
        </row>
        <row r="102">
          <cell r="J102">
            <v>-624.68000000000029</v>
          </cell>
        </row>
        <row r="103">
          <cell r="J103">
            <v>-624.68000000000029</v>
          </cell>
        </row>
        <row r="104">
          <cell r="J104">
            <v>3011.68</v>
          </cell>
        </row>
        <row r="105">
          <cell r="J105">
            <v>4375.32</v>
          </cell>
        </row>
        <row r="106">
          <cell r="J106">
            <v>375.31999999999971</v>
          </cell>
        </row>
        <row r="107">
          <cell r="J107">
            <v>1738.9599999999998</v>
          </cell>
        </row>
        <row r="108">
          <cell r="J108">
            <v>4466.2299999999996</v>
          </cell>
        </row>
        <row r="109">
          <cell r="J109">
            <v>5466.23</v>
          </cell>
        </row>
        <row r="110">
          <cell r="J110">
            <v>6375.32</v>
          </cell>
        </row>
        <row r="111">
          <cell r="J111">
            <v>1375.3199999999997</v>
          </cell>
        </row>
        <row r="112">
          <cell r="J112">
            <v>-1924.6800000000003</v>
          </cell>
        </row>
        <row r="113">
          <cell r="J113">
            <v>-4924.68</v>
          </cell>
        </row>
        <row r="114">
          <cell r="J114">
            <v>-5424.68</v>
          </cell>
        </row>
        <row r="115">
          <cell r="J115">
            <v>-3224.6800000000003</v>
          </cell>
        </row>
        <row r="116">
          <cell r="J116">
            <v>-7224.68</v>
          </cell>
        </row>
        <row r="117">
          <cell r="J117">
            <v>-4497.41</v>
          </cell>
        </row>
        <row r="118">
          <cell r="J118">
            <v>-1315.5899999999997</v>
          </cell>
        </row>
        <row r="119">
          <cell r="J119">
            <v>2775.32</v>
          </cell>
        </row>
        <row r="120">
          <cell r="J120">
            <v>3684.4100000000003</v>
          </cell>
        </row>
        <row r="121">
          <cell r="J121">
            <v>6866.2300000000005</v>
          </cell>
        </row>
        <row r="122">
          <cell r="J122">
            <v>9593.5</v>
          </cell>
        </row>
        <row r="123">
          <cell r="J123">
            <v>4593.5</v>
          </cell>
        </row>
        <row r="124">
          <cell r="J124">
            <v>1093.5</v>
          </cell>
        </row>
        <row r="125">
          <cell r="J125">
            <v>-1906.5</v>
          </cell>
        </row>
        <row r="126">
          <cell r="J126">
            <v>-5906.5</v>
          </cell>
        </row>
        <row r="127">
          <cell r="J127">
            <v>-2724.68</v>
          </cell>
        </row>
        <row r="128">
          <cell r="J128">
            <v>1366.23</v>
          </cell>
        </row>
        <row r="129">
          <cell r="J129">
            <v>-2633.77</v>
          </cell>
        </row>
        <row r="130">
          <cell r="J130">
            <v>-6133.77</v>
          </cell>
        </row>
        <row r="131">
          <cell r="J131">
            <v>-2497.4100000000003</v>
          </cell>
        </row>
        <row r="132">
          <cell r="J132">
            <v>-697.41000000000031</v>
          </cell>
        </row>
        <row r="133">
          <cell r="J133">
            <v>-1197.4100000000003</v>
          </cell>
        </row>
        <row r="134">
          <cell r="J134">
            <v>1802.5899999999997</v>
          </cell>
        </row>
        <row r="135">
          <cell r="J135">
            <v>802.58999999999969</v>
          </cell>
        </row>
        <row r="136">
          <cell r="J136">
            <v>1802.5899999999997</v>
          </cell>
        </row>
        <row r="137">
          <cell r="J137">
            <v>5893.5</v>
          </cell>
        </row>
        <row r="138">
          <cell r="J138">
            <v>8393.5</v>
          </cell>
        </row>
        <row r="139">
          <cell r="J139">
            <v>4393.5</v>
          </cell>
        </row>
        <row r="140">
          <cell r="J140">
            <v>1393.5</v>
          </cell>
        </row>
        <row r="141">
          <cell r="J141">
            <v>393.5</v>
          </cell>
        </row>
        <row r="142">
          <cell r="J142">
            <v>-4606.5</v>
          </cell>
        </row>
        <row r="143">
          <cell r="J143">
            <v>-796.98</v>
          </cell>
        </row>
        <row r="144">
          <cell r="J144">
            <v>2384.84</v>
          </cell>
        </row>
        <row r="145">
          <cell r="J145">
            <v>5269.46</v>
          </cell>
        </row>
        <row r="146">
          <cell r="J146">
            <v>4169.46</v>
          </cell>
        </row>
        <row r="147">
          <cell r="J147">
            <v>7943.04</v>
          </cell>
        </row>
        <row r="148">
          <cell r="J148">
            <v>12033.95</v>
          </cell>
        </row>
        <row r="149">
          <cell r="J149">
            <v>15670.310000000001</v>
          </cell>
        </row>
        <row r="150">
          <cell r="J150">
            <v>12670.310000000001</v>
          </cell>
        </row>
        <row r="151">
          <cell r="J151">
            <v>15852.130000000001</v>
          </cell>
        </row>
        <row r="152">
          <cell r="J152">
            <v>11852.130000000001</v>
          </cell>
        </row>
        <row r="153">
          <cell r="J153">
            <v>8352.130000000001</v>
          </cell>
        </row>
        <row r="154">
          <cell r="J154">
            <v>11079.400000000001</v>
          </cell>
        </row>
        <row r="155">
          <cell r="J155">
            <v>10079.400000000001</v>
          </cell>
        </row>
        <row r="156">
          <cell r="J156">
            <v>14104.400000000001</v>
          </cell>
        </row>
        <row r="157">
          <cell r="J157">
            <v>9604.4000000000015</v>
          </cell>
        </row>
        <row r="158">
          <cell r="J158">
            <v>12521.070000000002</v>
          </cell>
        </row>
        <row r="159">
          <cell r="J159">
            <v>9521.0700000000015</v>
          </cell>
        </row>
        <row r="160">
          <cell r="J160">
            <v>12248.340000000002</v>
          </cell>
        </row>
        <row r="161">
          <cell r="J161">
            <v>8248.340000000002</v>
          </cell>
        </row>
        <row r="162">
          <cell r="J162">
            <v>11884.700000000003</v>
          </cell>
        </row>
        <row r="163">
          <cell r="J163">
            <v>14611.970000000003</v>
          </cell>
        </row>
        <row r="164">
          <cell r="J164">
            <v>17793.790000000005</v>
          </cell>
        </row>
        <row r="165">
          <cell r="J165">
            <v>15293.790000000005</v>
          </cell>
        </row>
        <row r="166">
          <cell r="J166">
            <v>18997.490000000005</v>
          </cell>
        </row>
        <row r="167">
          <cell r="J167">
            <v>16997.490000000005</v>
          </cell>
        </row>
        <row r="168">
          <cell r="J168">
            <v>15497.490000000005</v>
          </cell>
        </row>
        <row r="169">
          <cell r="J169">
            <v>11997.490000000005</v>
          </cell>
        </row>
        <row r="170">
          <cell r="J170">
            <v>16088.400000000005</v>
          </cell>
        </row>
        <row r="171">
          <cell r="J171">
            <v>19724.760000000006</v>
          </cell>
        </row>
        <row r="172">
          <cell r="J172">
            <v>22906.580000000005</v>
          </cell>
        </row>
        <row r="173">
          <cell r="J173">
            <v>18406.580000000005</v>
          </cell>
        </row>
        <row r="174">
          <cell r="J174">
            <v>21588.400000000005</v>
          </cell>
        </row>
        <row r="175">
          <cell r="J175">
            <v>17588.400000000005</v>
          </cell>
        </row>
        <row r="176">
          <cell r="J176">
            <v>20392.140000000007</v>
          </cell>
        </row>
        <row r="177">
          <cell r="J177">
            <v>21301.230000000007</v>
          </cell>
        </row>
        <row r="178">
          <cell r="J178">
            <v>17801.230000000007</v>
          </cell>
        </row>
        <row r="179">
          <cell r="J179">
            <v>20801.230000000007</v>
          </cell>
        </row>
        <row r="180">
          <cell r="J180">
            <v>24892.140000000007</v>
          </cell>
        </row>
        <row r="181">
          <cell r="J181">
            <v>20392.140000000007</v>
          </cell>
        </row>
        <row r="182">
          <cell r="J182">
            <v>17892.140000000007</v>
          </cell>
        </row>
        <row r="183">
          <cell r="J183">
            <v>21983.050000000007</v>
          </cell>
        </row>
        <row r="184">
          <cell r="J184">
            <v>20983.050000000007</v>
          </cell>
        </row>
        <row r="185">
          <cell r="J185">
            <v>17483.050000000007</v>
          </cell>
        </row>
        <row r="186">
          <cell r="J186">
            <v>21119.410000000007</v>
          </cell>
        </row>
        <row r="187">
          <cell r="J187">
            <v>17119.410000000007</v>
          </cell>
        </row>
        <row r="188">
          <cell r="J188">
            <v>13619.410000000007</v>
          </cell>
        </row>
        <row r="189">
          <cell r="J189">
            <v>10619.410000000007</v>
          </cell>
        </row>
        <row r="190">
          <cell r="J190">
            <v>15164.860000000008</v>
          </cell>
        </row>
        <row r="191">
          <cell r="J191">
            <v>16528.500000000007</v>
          </cell>
        </row>
        <row r="192">
          <cell r="J192">
            <v>18478.500000000007</v>
          </cell>
        </row>
        <row r="193">
          <cell r="J193">
            <v>22569.410000000007</v>
          </cell>
        </row>
        <row r="194">
          <cell r="J194">
            <v>18069.410000000007</v>
          </cell>
        </row>
        <row r="195">
          <cell r="J195">
            <v>14769.410000000007</v>
          </cell>
        </row>
        <row r="196">
          <cell r="J196">
            <v>18405.770000000008</v>
          </cell>
        </row>
        <row r="197">
          <cell r="J197">
            <v>14405.770000000008</v>
          </cell>
        </row>
        <row r="198">
          <cell r="J198">
            <v>12405.770000000008</v>
          </cell>
        </row>
        <row r="199">
          <cell r="J199">
            <v>16496.680000000008</v>
          </cell>
        </row>
        <row r="200">
          <cell r="J200">
            <v>13496.680000000008</v>
          </cell>
        </row>
        <row r="201">
          <cell r="J201">
            <v>10496.680000000008</v>
          </cell>
        </row>
        <row r="202">
          <cell r="J202">
            <v>14133.040000000008</v>
          </cell>
        </row>
        <row r="203">
          <cell r="J203">
            <v>11133.040000000008</v>
          </cell>
        </row>
        <row r="204">
          <cell r="J204">
            <v>14314.860000000008</v>
          </cell>
        </row>
        <row r="205">
          <cell r="J205">
            <v>14314.860000000008</v>
          </cell>
        </row>
        <row r="206">
          <cell r="J206">
            <v>10314.860000000008</v>
          </cell>
        </row>
        <row r="207">
          <cell r="J207">
            <v>14405.770000000008</v>
          </cell>
        </row>
        <row r="208">
          <cell r="J208">
            <v>10005.770000000008</v>
          </cell>
        </row>
        <row r="209">
          <cell r="J209">
            <v>5505.7700000000077</v>
          </cell>
        </row>
        <row r="210">
          <cell r="J210">
            <v>8687.5900000000074</v>
          </cell>
        </row>
        <row r="211">
          <cell r="J211">
            <v>10137.590000000007</v>
          </cell>
        </row>
        <row r="212">
          <cell r="J212">
            <v>12657.590000000007</v>
          </cell>
        </row>
        <row r="213">
          <cell r="J213">
            <v>15657.590000000007</v>
          </cell>
        </row>
        <row r="214">
          <cell r="J214">
            <v>18990.920000000006</v>
          </cell>
        </row>
        <row r="215">
          <cell r="J215">
            <v>17990.920000000006</v>
          </cell>
        </row>
        <row r="216">
          <cell r="J216">
            <v>21172.740000000005</v>
          </cell>
        </row>
        <row r="217">
          <cell r="J217">
            <v>25263.650000000005</v>
          </cell>
        </row>
        <row r="218">
          <cell r="J218">
            <v>22263.650000000005</v>
          </cell>
        </row>
        <row r="219">
          <cell r="J219">
            <v>22263.650000000005</v>
          </cell>
        </row>
        <row r="220">
          <cell r="J220">
            <v>17863.650000000005</v>
          </cell>
        </row>
        <row r="221">
          <cell r="J221">
            <v>16863.650000000005</v>
          </cell>
        </row>
        <row r="222">
          <cell r="J222">
            <v>20500.010000000006</v>
          </cell>
        </row>
        <row r="223">
          <cell r="J223">
            <v>24136.370000000006</v>
          </cell>
        </row>
        <row r="224">
          <cell r="J224">
            <v>27318.190000000006</v>
          </cell>
        </row>
        <row r="225">
          <cell r="J225">
            <v>27318.190000000006</v>
          </cell>
        </row>
        <row r="226">
          <cell r="J226">
            <v>30318.190000000006</v>
          </cell>
        </row>
        <row r="227">
          <cell r="J227">
            <v>33318.19</v>
          </cell>
        </row>
        <row r="228">
          <cell r="J228">
            <v>34518.19</v>
          </cell>
        </row>
        <row r="229">
          <cell r="J229">
            <v>29518.190000000002</v>
          </cell>
        </row>
        <row r="230">
          <cell r="J230">
            <v>25018.190000000002</v>
          </cell>
        </row>
        <row r="231">
          <cell r="J231">
            <v>28684.86</v>
          </cell>
        </row>
        <row r="232">
          <cell r="J232">
            <v>26184.86</v>
          </cell>
        </row>
        <row r="233">
          <cell r="J233">
            <v>30275.77</v>
          </cell>
        </row>
        <row r="234">
          <cell r="J234">
            <v>33457.590000000004</v>
          </cell>
        </row>
        <row r="235">
          <cell r="J235">
            <v>32457.590000000004</v>
          </cell>
        </row>
        <row r="236">
          <cell r="J236">
            <v>36062.590000000004</v>
          </cell>
        </row>
        <row r="237">
          <cell r="J237">
            <v>40153.5</v>
          </cell>
        </row>
        <row r="238">
          <cell r="J238">
            <v>36853.5</v>
          </cell>
        </row>
        <row r="239">
          <cell r="J239">
            <v>33353.5</v>
          </cell>
        </row>
        <row r="240">
          <cell r="J240">
            <v>36853.5</v>
          </cell>
        </row>
        <row r="241">
          <cell r="J241">
            <v>32853.5</v>
          </cell>
        </row>
        <row r="242">
          <cell r="J242">
            <v>28353.5</v>
          </cell>
        </row>
        <row r="243">
          <cell r="J243">
            <v>32353.5</v>
          </cell>
        </row>
        <row r="244">
          <cell r="J244">
            <v>33717.14</v>
          </cell>
        </row>
        <row r="245">
          <cell r="J245">
            <v>33717.14</v>
          </cell>
        </row>
        <row r="246">
          <cell r="J246">
            <v>31717.14</v>
          </cell>
        </row>
        <row r="247">
          <cell r="J247">
            <v>35808.050000000003</v>
          </cell>
        </row>
        <row r="248">
          <cell r="J248">
            <v>33608.050000000003</v>
          </cell>
        </row>
        <row r="249">
          <cell r="J249">
            <v>36789.870000000003</v>
          </cell>
        </row>
        <row r="250">
          <cell r="J250">
            <v>32289.870000000003</v>
          </cell>
        </row>
        <row r="251">
          <cell r="J251">
            <v>27889.870000000003</v>
          </cell>
        </row>
        <row r="252">
          <cell r="J252">
            <v>31071.690000000002</v>
          </cell>
        </row>
        <row r="253">
          <cell r="J253">
            <v>26571.690000000002</v>
          </cell>
        </row>
        <row r="254">
          <cell r="J254">
            <v>22571.690000000002</v>
          </cell>
        </row>
        <row r="255">
          <cell r="J255">
            <v>25753.510000000002</v>
          </cell>
        </row>
        <row r="256">
          <cell r="J256">
            <v>20253.510000000002</v>
          </cell>
        </row>
        <row r="257">
          <cell r="J257">
            <v>21253.510000000002</v>
          </cell>
        </row>
        <row r="258">
          <cell r="J258">
            <v>20253.510000000002</v>
          </cell>
        </row>
        <row r="259">
          <cell r="J259">
            <v>19253.510000000002</v>
          </cell>
        </row>
        <row r="260">
          <cell r="J260">
            <v>18253.510000000002</v>
          </cell>
        </row>
        <row r="261">
          <cell r="J261">
            <v>20526.240000000002</v>
          </cell>
        </row>
        <row r="262">
          <cell r="J262">
            <v>23526.240000000002</v>
          </cell>
        </row>
        <row r="263">
          <cell r="J263">
            <v>20226.240000000002</v>
          </cell>
        </row>
        <row r="264">
          <cell r="J264">
            <v>16226.240000000002</v>
          </cell>
        </row>
        <row r="265">
          <cell r="J265">
            <v>12226.240000000002</v>
          </cell>
        </row>
        <row r="266">
          <cell r="J266">
            <v>7826.2400000000016</v>
          </cell>
        </row>
        <row r="267">
          <cell r="J267">
            <v>6726.2400000000016</v>
          </cell>
        </row>
        <row r="268">
          <cell r="J268">
            <v>8998.9700000000012</v>
          </cell>
        </row>
        <row r="269">
          <cell r="J269">
            <v>7398.9700000000012</v>
          </cell>
        </row>
        <row r="270">
          <cell r="J270">
            <v>4098.9700000000012</v>
          </cell>
        </row>
        <row r="271">
          <cell r="J271">
            <v>1898.9700000000012</v>
          </cell>
        </row>
        <row r="272">
          <cell r="J272">
            <v>5898.9700000000012</v>
          </cell>
        </row>
        <row r="273">
          <cell r="J273">
            <v>9080.7900000000009</v>
          </cell>
        </row>
        <row r="274">
          <cell r="J274">
            <v>4580.7900000000009</v>
          </cell>
        </row>
        <row r="275">
          <cell r="J275">
            <v>4580.7900000000009</v>
          </cell>
        </row>
        <row r="276">
          <cell r="J276">
            <v>5830.7900000000009</v>
          </cell>
        </row>
        <row r="277">
          <cell r="J277">
            <v>1430.7900000000009</v>
          </cell>
        </row>
        <row r="278">
          <cell r="J278">
            <v>4430.7900000000009</v>
          </cell>
        </row>
        <row r="279">
          <cell r="J279">
            <v>6703.52</v>
          </cell>
        </row>
        <row r="280">
          <cell r="J280">
            <v>10703.52</v>
          </cell>
        </row>
        <row r="281">
          <cell r="J281">
            <v>11703.52</v>
          </cell>
        </row>
        <row r="282">
          <cell r="J282">
            <v>14430.79</v>
          </cell>
        </row>
        <row r="283">
          <cell r="J283">
            <v>17430.79</v>
          </cell>
        </row>
        <row r="284">
          <cell r="J284">
            <v>15430.79</v>
          </cell>
        </row>
        <row r="285">
          <cell r="J285">
            <v>17430.79</v>
          </cell>
        </row>
        <row r="286">
          <cell r="J286">
            <v>19430.79</v>
          </cell>
        </row>
        <row r="287">
          <cell r="J287">
            <v>23430.79</v>
          </cell>
        </row>
        <row r="288">
          <cell r="J288">
            <v>26612.61</v>
          </cell>
        </row>
        <row r="289">
          <cell r="J289">
            <v>27612.61</v>
          </cell>
        </row>
        <row r="290">
          <cell r="J290">
            <v>31612.61</v>
          </cell>
        </row>
        <row r="291">
          <cell r="J291">
            <v>27612.61</v>
          </cell>
        </row>
        <row r="292">
          <cell r="J292">
            <v>23212.61</v>
          </cell>
        </row>
        <row r="293">
          <cell r="J293">
            <v>27212.61</v>
          </cell>
        </row>
        <row r="294">
          <cell r="J294">
            <v>28212.61</v>
          </cell>
        </row>
        <row r="295">
          <cell r="J295">
            <v>31394.43</v>
          </cell>
        </row>
        <row r="296">
          <cell r="J296">
            <v>34394.43</v>
          </cell>
        </row>
        <row r="297">
          <cell r="J297">
            <v>32194.43</v>
          </cell>
        </row>
        <row r="298">
          <cell r="J298">
            <v>27694.43</v>
          </cell>
        </row>
        <row r="299">
          <cell r="J299">
            <v>31694.43</v>
          </cell>
        </row>
        <row r="300">
          <cell r="J300">
            <v>29694.43</v>
          </cell>
        </row>
        <row r="301">
          <cell r="J301">
            <v>32694.43</v>
          </cell>
        </row>
        <row r="302">
          <cell r="J302">
            <v>32694.43</v>
          </cell>
        </row>
        <row r="303">
          <cell r="J303">
            <v>36361.1</v>
          </cell>
        </row>
        <row r="304">
          <cell r="J304">
            <v>35261.1</v>
          </cell>
        </row>
        <row r="305">
          <cell r="J305">
            <v>38261.1</v>
          </cell>
        </row>
        <row r="306">
          <cell r="J306">
            <v>36061.1</v>
          </cell>
        </row>
        <row r="307">
          <cell r="J307">
            <v>40061.1</v>
          </cell>
        </row>
        <row r="308">
          <cell r="J308">
            <v>42977.77</v>
          </cell>
        </row>
        <row r="309">
          <cell r="J309">
            <v>43977.77</v>
          </cell>
        </row>
        <row r="310">
          <cell r="J310">
            <v>46061.1</v>
          </cell>
        </row>
        <row r="311">
          <cell r="J311">
            <v>41661.1</v>
          </cell>
        </row>
        <row r="312">
          <cell r="J312">
            <v>44661.1</v>
          </cell>
        </row>
        <row r="313">
          <cell r="J313">
            <v>41361.1</v>
          </cell>
        </row>
        <row r="314">
          <cell r="J314">
            <v>39161.1</v>
          </cell>
        </row>
        <row r="315">
          <cell r="J315">
            <v>42494.43</v>
          </cell>
        </row>
        <row r="316">
          <cell r="J316">
            <v>47494.43</v>
          </cell>
        </row>
        <row r="317">
          <cell r="J317">
            <v>44494.43</v>
          </cell>
        </row>
        <row r="318">
          <cell r="J318">
            <v>45694.43</v>
          </cell>
        </row>
        <row r="319">
          <cell r="J319">
            <v>49027.76</v>
          </cell>
        </row>
        <row r="320">
          <cell r="J320">
            <v>53027.76</v>
          </cell>
        </row>
        <row r="321">
          <cell r="J321">
            <v>53027.76</v>
          </cell>
        </row>
        <row r="322">
          <cell r="J322">
            <v>57027.76</v>
          </cell>
        </row>
        <row r="323">
          <cell r="J323">
            <v>53027.76</v>
          </cell>
        </row>
        <row r="324">
          <cell r="J324">
            <v>51927.76</v>
          </cell>
        </row>
        <row r="325">
          <cell r="J325">
            <v>49727.76</v>
          </cell>
        </row>
        <row r="326">
          <cell r="J326">
            <v>48227.76</v>
          </cell>
        </row>
        <row r="327">
          <cell r="J327">
            <v>53227.76</v>
          </cell>
        </row>
        <row r="328">
          <cell r="J328">
            <v>56864.12</v>
          </cell>
        </row>
        <row r="329">
          <cell r="J329">
            <v>53864.12</v>
          </cell>
        </row>
        <row r="330">
          <cell r="J330">
            <v>48864.12</v>
          </cell>
        </row>
        <row r="331">
          <cell r="J331">
            <v>45564.12</v>
          </cell>
        </row>
        <row r="332">
          <cell r="J332">
            <v>49564.12</v>
          </cell>
        </row>
        <row r="333">
          <cell r="J333">
            <v>52564.12</v>
          </cell>
        </row>
        <row r="334">
          <cell r="J334">
            <v>56200.480000000003</v>
          </cell>
        </row>
        <row r="335">
          <cell r="J335">
            <v>51800.480000000003</v>
          </cell>
        </row>
        <row r="336">
          <cell r="J336">
            <v>46800.480000000003</v>
          </cell>
        </row>
        <row r="337">
          <cell r="J337">
            <v>43500.480000000003</v>
          </cell>
        </row>
        <row r="338">
          <cell r="J338">
            <v>39500.480000000003</v>
          </cell>
        </row>
        <row r="339">
          <cell r="J339">
            <v>42500.480000000003</v>
          </cell>
        </row>
        <row r="340">
          <cell r="J340">
            <v>39200.480000000003</v>
          </cell>
        </row>
        <row r="341">
          <cell r="J341">
            <v>43200.480000000003</v>
          </cell>
        </row>
        <row r="342">
          <cell r="J342">
            <v>47745.93</v>
          </cell>
        </row>
        <row r="343">
          <cell r="J343">
            <v>48745.93</v>
          </cell>
        </row>
        <row r="344">
          <cell r="J344">
            <v>52382.29</v>
          </cell>
        </row>
        <row r="345">
          <cell r="J345">
            <v>55382.29</v>
          </cell>
        </row>
        <row r="346">
          <cell r="J346">
            <v>51382.29</v>
          </cell>
        </row>
        <row r="347">
          <cell r="J347">
            <v>56382.29</v>
          </cell>
        </row>
        <row r="348">
          <cell r="J348">
            <v>52882.29</v>
          </cell>
        </row>
        <row r="349">
          <cell r="J349">
            <v>48482.29</v>
          </cell>
        </row>
        <row r="350">
          <cell r="J350">
            <v>47482.29</v>
          </cell>
        </row>
        <row r="351">
          <cell r="J351">
            <v>50482.29</v>
          </cell>
        </row>
        <row r="352">
          <cell r="J352">
            <v>46982.29</v>
          </cell>
        </row>
        <row r="353">
          <cell r="J353">
            <v>50982.29</v>
          </cell>
        </row>
        <row r="354">
          <cell r="J354">
            <v>53982.29</v>
          </cell>
        </row>
        <row r="355">
          <cell r="J355">
            <v>55982.29</v>
          </cell>
        </row>
        <row r="356">
          <cell r="J356">
            <v>53482.29</v>
          </cell>
        </row>
        <row r="357">
          <cell r="J357">
            <v>58027.74</v>
          </cell>
        </row>
        <row r="358">
          <cell r="J358">
            <v>62027.74</v>
          </cell>
        </row>
        <row r="359">
          <cell r="J359">
            <v>65027.74</v>
          </cell>
        </row>
        <row r="360">
          <cell r="J360">
            <v>59527.74</v>
          </cell>
        </row>
        <row r="361">
          <cell r="J361">
            <v>63164.1</v>
          </cell>
        </row>
        <row r="362">
          <cell r="J362">
            <v>66164.100000000006</v>
          </cell>
        </row>
        <row r="363">
          <cell r="J363">
            <v>61764.100000000006</v>
          </cell>
        </row>
        <row r="364">
          <cell r="J364">
            <v>64764.100000000006</v>
          </cell>
        </row>
        <row r="365">
          <cell r="J365">
            <v>60364.100000000006</v>
          </cell>
        </row>
        <row r="366">
          <cell r="J366">
            <v>54864.100000000006</v>
          </cell>
        </row>
        <row r="367">
          <cell r="J367">
            <v>53864.100000000006</v>
          </cell>
        </row>
        <row r="368">
          <cell r="J368">
            <v>51664.100000000006</v>
          </cell>
        </row>
        <row r="369">
          <cell r="J369">
            <v>49464.100000000006</v>
          </cell>
        </row>
        <row r="370">
          <cell r="J370">
            <v>45464.100000000006</v>
          </cell>
        </row>
        <row r="371">
          <cell r="J371">
            <v>48380.770000000004</v>
          </cell>
        </row>
        <row r="372">
          <cell r="J372">
            <v>51380.770000000004</v>
          </cell>
        </row>
        <row r="373">
          <cell r="J373">
            <v>55380.770000000004</v>
          </cell>
        </row>
        <row r="374">
          <cell r="J374">
            <v>59380.770000000004</v>
          </cell>
        </row>
        <row r="375">
          <cell r="J375">
            <v>56080.770000000004</v>
          </cell>
        </row>
        <row r="376">
          <cell r="J376">
            <v>51680.770000000004</v>
          </cell>
        </row>
        <row r="377">
          <cell r="J377">
            <v>47280.770000000004</v>
          </cell>
        </row>
        <row r="378">
          <cell r="J378">
            <v>52280.770000000004</v>
          </cell>
        </row>
        <row r="379">
          <cell r="J379">
            <v>48280.770000000004</v>
          </cell>
        </row>
        <row r="380">
          <cell r="J380">
            <v>43480.770000000004</v>
          </cell>
        </row>
        <row r="381">
          <cell r="J381">
            <v>47480.770000000004</v>
          </cell>
        </row>
        <row r="382">
          <cell r="J382">
            <v>51480.770000000004</v>
          </cell>
        </row>
        <row r="383">
          <cell r="J383">
            <v>55117.130000000005</v>
          </cell>
        </row>
        <row r="384">
          <cell r="J384">
            <v>60117.130000000005</v>
          </cell>
        </row>
        <row r="385">
          <cell r="J385">
            <v>58617.130000000005</v>
          </cell>
        </row>
        <row r="386">
          <cell r="J386">
            <v>62253.490000000005</v>
          </cell>
        </row>
        <row r="387">
          <cell r="J387">
            <v>65889.850000000006</v>
          </cell>
        </row>
        <row r="388">
          <cell r="J388">
            <v>62389.850000000006</v>
          </cell>
        </row>
        <row r="389">
          <cell r="J389">
            <v>64208.030000000006</v>
          </cell>
        </row>
        <row r="390">
          <cell r="J390">
            <v>68408.03</v>
          </cell>
        </row>
        <row r="391">
          <cell r="J391">
            <v>63908.03</v>
          </cell>
        </row>
        <row r="392">
          <cell r="J392">
            <v>67908.03</v>
          </cell>
        </row>
        <row r="393">
          <cell r="J393">
            <v>62908.03</v>
          </cell>
        </row>
        <row r="394">
          <cell r="J394">
            <v>66908.03</v>
          </cell>
        </row>
        <row r="395">
          <cell r="J395">
            <v>70544.39</v>
          </cell>
        </row>
        <row r="396">
          <cell r="J396">
            <v>67244.39</v>
          </cell>
        </row>
        <row r="397">
          <cell r="J397">
            <v>70577.72</v>
          </cell>
        </row>
        <row r="398">
          <cell r="J398">
            <v>73759.540000000008</v>
          </cell>
        </row>
        <row r="399">
          <cell r="J399">
            <v>69259.540000000008</v>
          </cell>
        </row>
        <row r="400">
          <cell r="J400">
            <v>67059.540000000008</v>
          </cell>
        </row>
        <row r="401">
          <cell r="J401">
            <v>62659.540000000008</v>
          </cell>
        </row>
        <row r="402">
          <cell r="J402">
            <v>66295.900000000009</v>
          </cell>
        </row>
        <row r="403">
          <cell r="J403">
            <v>65295.900000000009</v>
          </cell>
        </row>
        <row r="404">
          <cell r="J404">
            <v>69295.900000000009</v>
          </cell>
        </row>
        <row r="405">
          <cell r="J405">
            <v>65795.900000000009</v>
          </cell>
        </row>
        <row r="406">
          <cell r="J406">
            <v>61395.900000000009</v>
          </cell>
        </row>
        <row r="407">
          <cell r="J407">
            <v>59395.900000000009</v>
          </cell>
        </row>
        <row r="408">
          <cell r="J408">
            <v>61395.900000000009</v>
          </cell>
        </row>
        <row r="409">
          <cell r="J409">
            <v>58095.900000000009</v>
          </cell>
        </row>
        <row r="410">
          <cell r="J410">
            <v>54095.900000000009</v>
          </cell>
        </row>
        <row r="411">
          <cell r="J411">
            <v>57732.260000000009</v>
          </cell>
        </row>
        <row r="412">
          <cell r="J412">
            <v>61368.62000000001</v>
          </cell>
        </row>
        <row r="413">
          <cell r="J413">
            <v>63368.62000000001</v>
          </cell>
        </row>
        <row r="414">
          <cell r="J414">
            <v>57868.62000000001</v>
          </cell>
        </row>
        <row r="415">
          <cell r="J415">
            <v>56868.62000000001</v>
          </cell>
        </row>
        <row r="416">
          <cell r="J416">
            <v>51868.62000000001</v>
          </cell>
        </row>
        <row r="417">
          <cell r="J417">
            <v>47468.62000000001</v>
          </cell>
        </row>
        <row r="418">
          <cell r="J418">
            <v>52468.62000000001</v>
          </cell>
        </row>
        <row r="419">
          <cell r="J419">
            <v>56468.62000000001</v>
          </cell>
        </row>
        <row r="420">
          <cell r="J420">
            <v>53968.62000000001</v>
          </cell>
        </row>
        <row r="421">
          <cell r="J421">
            <v>50968.62000000001</v>
          </cell>
        </row>
        <row r="422">
          <cell r="J422">
            <v>50968.62000000001</v>
          </cell>
        </row>
        <row r="423">
          <cell r="J423">
            <v>46568.62000000001</v>
          </cell>
        </row>
        <row r="424">
          <cell r="J424">
            <v>46568.62000000001</v>
          </cell>
        </row>
        <row r="425">
          <cell r="J425">
            <v>43268.62000000001</v>
          </cell>
        </row>
        <row r="426">
          <cell r="J426">
            <v>38868.62000000001</v>
          </cell>
        </row>
        <row r="427">
          <cell r="J427">
            <v>42868.62000000001</v>
          </cell>
        </row>
        <row r="428">
          <cell r="J428">
            <v>38868.62000000001</v>
          </cell>
        </row>
        <row r="429">
          <cell r="J429">
            <v>41868.62000000001</v>
          </cell>
        </row>
        <row r="430">
          <cell r="J430">
            <v>44868.62000000001</v>
          </cell>
        </row>
        <row r="431">
          <cell r="J431">
            <v>39868.62000000001</v>
          </cell>
        </row>
        <row r="432">
          <cell r="J432">
            <v>44868.62000000001</v>
          </cell>
        </row>
        <row r="433">
          <cell r="J433">
            <v>43868.62000000001</v>
          </cell>
        </row>
        <row r="434">
          <cell r="J434">
            <v>39468.62000000001</v>
          </cell>
        </row>
        <row r="435">
          <cell r="J435">
            <v>41468.62000000001</v>
          </cell>
        </row>
        <row r="436">
          <cell r="J436">
            <v>44468.62000000001</v>
          </cell>
        </row>
        <row r="437">
          <cell r="J437">
            <v>41168.62000000001</v>
          </cell>
        </row>
        <row r="438">
          <cell r="J438">
            <v>45168.62000000001</v>
          </cell>
        </row>
        <row r="439">
          <cell r="J439">
            <v>49335.290000000008</v>
          </cell>
        </row>
        <row r="440">
          <cell r="J440">
            <v>52335.290000000008</v>
          </cell>
        </row>
        <row r="441">
          <cell r="J441">
            <v>47935.290000000008</v>
          </cell>
        </row>
        <row r="442">
          <cell r="J442">
            <v>51571.650000000009</v>
          </cell>
        </row>
        <row r="443">
          <cell r="J443">
            <v>47721.650000000009</v>
          </cell>
        </row>
        <row r="444">
          <cell r="J444">
            <v>43721.650000000009</v>
          </cell>
        </row>
        <row r="445">
          <cell r="J445">
            <v>39721.650000000009</v>
          </cell>
        </row>
        <row r="446">
          <cell r="J446">
            <v>37521.650000000009</v>
          </cell>
        </row>
        <row r="447">
          <cell r="J447">
            <v>33121.650000000009</v>
          </cell>
        </row>
        <row r="448">
          <cell r="J448">
            <v>28721.650000000009</v>
          </cell>
        </row>
        <row r="449">
          <cell r="J449">
            <v>31721.650000000009</v>
          </cell>
        </row>
        <row r="450">
          <cell r="J450">
            <v>36721.650000000009</v>
          </cell>
        </row>
        <row r="451">
          <cell r="J451">
            <v>41721.650000000009</v>
          </cell>
        </row>
        <row r="452">
          <cell r="J452">
            <v>37221.650000000009</v>
          </cell>
        </row>
        <row r="453">
          <cell r="J453">
            <v>40221.650000000009</v>
          </cell>
        </row>
        <row r="454">
          <cell r="J454">
            <v>43403.470000000008</v>
          </cell>
        </row>
        <row r="455">
          <cell r="J455">
            <v>46403.470000000008</v>
          </cell>
        </row>
        <row r="456">
          <cell r="J456">
            <v>42003.470000000008</v>
          </cell>
        </row>
        <row r="457">
          <cell r="J457">
            <v>42003.470000000008</v>
          </cell>
        </row>
        <row r="458">
          <cell r="J458">
            <v>36503.470000000008</v>
          </cell>
        </row>
        <row r="459">
          <cell r="J459">
            <v>35503.470000000008</v>
          </cell>
        </row>
        <row r="460">
          <cell r="J460">
            <v>36503.470000000008</v>
          </cell>
        </row>
        <row r="461">
          <cell r="J461">
            <v>38503.470000000008</v>
          </cell>
        </row>
        <row r="462">
          <cell r="J462">
            <v>43503.470000000008</v>
          </cell>
        </row>
        <row r="463">
          <cell r="J463">
            <v>46503.470000000008</v>
          </cell>
        </row>
        <row r="464">
          <cell r="J464">
            <v>42103.470000000008</v>
          </cell>
        </row>
        <row r="465">
          <cell r="J465">
            <v>36603.470000000008</v>
          </cell>
        </row>
        <row r="466">
          <cell r="J466">
            <v>32203.470000000008</v>
          </cell>
        </row>
        <row r="467">
          <cell r="J467">
            <v>28903.470000000008</v>
          </cell>
        </row>
        <row r="468">
          <cell r="J468">
            <v>24403.470000000008</v>
          </cell>
        </row>
        <row r="469">
          <cell r="J469">
            <v>27403.470000000008</v>
          </cell>
        </row>
        <row r="470">
          <cell r="J470">
            <v>32403.470000000008</v>
          </cell>
        </row>
        <row r="471">
          <cell r="J471">
            <v>35403.470000000008</v>
          </cell>
        </row>
        <row r="472">
          <cell r="J472">
            <v>31903.470000000008</v>
          </cell>
        </row>
        <row r="473">
          <cell r="J473">
            <v>28603.470000000008</v>
          </cell>
        </row>
        <row r="474">
          <cell r="J474">
            <v>32603.470000000008</v>
          </cell>
        </row>
        <row r="475">
          <cell r="J475">
            <v>35103.470000000008</v>
          </cell>
        </row>
        <row r="476">
          <cell r="J476">
            <v>38436.80000000001</v>
          </cell>
        </row>
        <row r="477">
          <cell r="J477">
            <v>34436.80000000001</v>
          </cell>
        </row>
        <row r="478">
          <cell r="J478">
            <v>33436.80000000001</v>
          </cell>
        </row>
        <row r="479">
          <cell r="J479">
            <v>38436.80000000001</v>
          </cell>
        </row>
        <row r="480">
          <cell r="J480">
            <v>35136.80000000001</v>
          </cell>
        </row>
        <row r="481">
          <cell r="J481">
            <v>34036.80000000001</v>
          </cell>
        </row>
        <row r="482">
          <cell r="J482">
            <v>29036.80000000001</v>
          </cell>
        </row>
        <row r="483">
          <cell r="J483">
            <v>24036.80000000001</v>
          </cell>
        </row>
        <row r="484">
          <cell r="J484">
            <v>27036.80000000001</v>
          </cell>
        </row>
        <row r="485">
          <cell r="J485">
            <v>22636.80000000001</v>
          </cell>
        </row>
        <row r="486">
          <cell r="J486">
            <v>18236.80000000001</v>
          </cell>
        </row>
        <row r="487">
          <cell r="J487">
            <v>19236.80000000001</v>
          </cell>
        </row>
        <row r="488">
          <cell r="J488">
            <v>19236.80000000001</v>
          </cell>
        </row>
        <row r="489">
          <cell r="J489">
            <v>18136.80000000001</v>
          </cell>
        </row>
        <row r="490">
          <cell r="J490">
            <v>23136.80000000001</v>
          </cell>
        </row>
        <row r="491">
          <cell r="J491">
            <v>18136.80000000001</v>
          </cell>
        </row>
        <row r="492">
          <cell r="J492">
            <v>17136.80000000001</v>
          </cell>
        </row>
        <row r="493">
          <cell r="J493">
            <v>13836.80000000001</v>
          </cell>
        </row>
        <row r="494">
          <cell r="J494">
            <v>17836.80000000001</v>
          </cell>
        </row>
        <row r="495">
          <cell r="J495">
            <v>21473.160000000011</v>
          </cell>
        </row>
        <row r="496">
          <cell r="J496">
            <v>23473.160000000011</v>
          </cell>
        </row>
        <row r="497">
          <cell r="J497">
            <v>19473.160000000011</v>
          </cell>
        </row>
        <row r="498">
          <cell r="J498">
            <v>15073.160000000011</v>
          </cell>
        </row>
        <row r="499">
          <cell r="J499">
            <v>20073.160000000011</v>
          </cell>
        </row>
        <row r="500">
          <cell r="J500">
            <v>22800.430000000011</v>
          </cell>
        </row>
        <row r="501">
          <cell r="J501">
            <v>25800.430000000011</v>
          </cell>
        </row>
        <row r="502">
          <cell r="J502">
            <v>20800.430000000011</v>
          </cell>
        </row>
        <row r="503">
          <cell r="J503">
            <v>18600.430000000011</v>
          </cell>
        </row>
        <row r="504">
          <cell r="J504">
            <v>21600.430000000011</v>
          </cell>
        </row>
        <row r="505">
          <cell r="J505">
            <v>17200.430000000011</v>
          </cell>
        </row>
        <row r="506">
          <cell r="J506">
            <v>12700.430000000011</v>
          </cell>
        </row>
        <row r="507">
          <cell r="J507">
            <v>15700.430000000011</v>
          </cell>
        </row>
        <row r="508">
          <cell r="J508">
            <v>19700.430000000011</v>
          </cell>
        </row>
        <row r="509">
          <cell r="J509">
            <v>22800.430000000011</v>
          </cell>
        </row>
        <row r="510">
          <cell r="J510">
            <v>26800.430000000011</v>
          </cell>
        </row>
        <row r="511">
          <cell r="J511">
            <v>30800.430000000011</v>
          </cell>
        </row>
        <row r="512">
          <cell r="J512">
            <v>33800.430000000008</v>
          </cell>
        </row>
        <row r="513">
          <cell r="J513">
            <v>28300.430000000008</v>
          </cell>
        </row>
        <row r="514">
          <cell r="J514">
            <v>26300.430000000008</v>
          </cell>
        </row>
        <row r="515">
          <cell r="J515">
            <v>30300.430000000008</v>
          </cell>
        </row>
        <row r="516">
          <cell r="J516">
            <v>27000.430000000008</v>
          </cell>
        </row>
        <row r="517">
          <cell r="J517">
            <v>30750.430000000008</v>
          </cell>
        </row>
        <row r="518">
          <cell r="J518">
            <v>33750.430000000008</v>
          </cell>
        </row>
        <row r="519">
          <cell r="J519">
            <v>29350.430000000008</v>
          </cell>
        </row>
        <row r="520">
          <cell r="J520">
            <v>25750.430000000008</v>
          </cell>
        </row>
        <row r="521">
          <cell r="J521">
            <v>30295.880000000008</v>
          </cell>
        </row>
        <row r="522">
          <cell r="J522">
            <v>28095.880000000008</v>
          </cell>
        </row>
        <row r="523">
          <cell r="J523">
            <v>25595.880000000008</v>
          </cell>
        </row>
        <row r="524">
          <cell r="J524">
            <v>28595.880000000008</v>
          </cell>
        </row>
        <row r="525">
          <cell r="J525">
            <v>24195.880000000008</v>
          </cell>
        </row>
        <row r="526">
          <cell r="J526">
            <v>20895.880000000008</v>
          </cell>
        </row>
        <row r="527">
          <cell r="J527">
            <v>17595.880000000008</v>
          </cell>
        </row>
        <row r="528">
          <cell r="J528">
            <v>13195.880000000008</v>
          </cell>
        </row>
        <row r="529">
          <cell r="J529">
            <v>17195.880000000008</v>
          </cell>
        </row>
        <row r="530">
          <cell r="J530">
            <v>21195.880000000008</v>
          </cell>
        </row>
        <row r="531">
          <cell r="J531">
            <v>24195.880000000008</v>
          </cell>
        </row>
        <row r="532">
          <cell r="J532">
            <v>27832.240000000009</v>
          </cell>
        </row>
        <row r="533">
          <cell r="J533">
            <v>32832.240000000005</v>
          </cell>
        </row>
        <row r="534">
          <cell r="J534">
            <v>28432.240000000005</v>
          </cell>
        </row>
        <row r="535">
          <cell r="J535">
            <v>31432.240000000005</v>
          </cell>
        </row>
        <row r="536">
          <cell r="J536">
            <v>27832.240000000005</v>
          </cell>
        </row>
        <row r="537">
          <cell r="J537">
            <v>22332.240000000005</v>
          </cell>
        </row>
        <row r="538">
          <cell r="J538">
            <v>27332.240000000005</v>
          </cell>
        </row>
        <row r="539">
          <cell r="J539">
            <v>21832.240000000005</v>
          </cell>
        </row>
        <row r="540">
          <cell r="J540">
            <v>19832.240000000005</v>
          </cell>
        </row>
        <row r="541">
          <cell r="J541">
            <v>14832.240000000005</v>
          </cell>
        </row>
        <row r="542">
          <cell r="J542">
            <v>18832.240000000005</v>
          </cell>
        </row>
        <row r="543">
          <cell r="J543">
            <v>14432.240000000005</v>
          </cell>
        </row>
        <row r="544">
          <cell r="J544">
            <v>18432.240000000005</v>
          </cell>
        </row>
        <row r="545">
          <cell r="J545">
            <v>21614.060000000005</v>
          </cell>
        </row>
        <row r="546">
          <cell r="J546">
            <v>22614.060000000005</v>
          </cell>
        </row>
        <row r="547">
          <cell r="J547">
            <v>27197.390000000007</v>
          </cell>
        </row>
        <row r="548">
          <cell r="J548">
            <v>30833.750000000007</v>
          </cell>
        </row>
        <row r="549">
          <cell r="J549">
            <v>35833.750000000007</v>
          </cell>
        </row>
        <row r="550">
          <cell r="J550">
            <v>38833.750000000007</v>
          </cell>
        </row>
        <row r="551">
          <cell r="J551">
            <v>35533.750000000007</v>
          </cell>
        </row>
        <row r="552">
          <cell r="J552">
            <v>40117.080000000009</v>
          </cell>
        </row>
        <row r="553">
          <cell r="J553">
            <v>37917.080000000009</v>
          </cell>
        </row>
        <row r="554">
          <cell r="J554">
            <v>33517.080000000009</v>
          </cell>
        </row>
        <row r="555">
          <cell r="J555">
            <v>38100.410000000011</v>
          </cell>
        </row>
        <row r="556">
          <cell r="J556">
            <v>34800.410000000011</v>
          </cell>
        </row>
        <row r="557">
          <cell r="J557">
            <v>29580.410000000011</v>
          </cell>
        </row>
        <row r="558">
          <cell r="J558">
            <v>34580.410000000011</v>
          </cell>
        </row>
        <row r="559">
          <cell r="J559">
            <v>31280.410000000011</v>
          </cell>
        </row>
        <row r="560">
          <cell r="J560">
            <v>26880.410000000011</v>
          </cell>
        </row>
        <row r="561">
          <cell r="J561">
            <v>30880.410000000011</v>
          </cell>
        </row>
        <row r="562">
          <cell r="J562">
            <v>33880.410000000011</v>
          </cell>
        </row>
        <row r="563">
          <cell r="J563">
            <v>28380.410000000011</v>
          </cell>
        </row>
        <row r="564">
          <cell r="J564">
            <v>24380.410000000011</v>
          </cell>
        </row>
        <row r="565">
          <cell r="J565">
            <v>25380.410000000011</v>
          </cell>
        </row>
        <row r="566">
          <cell r="J566">
            <v>28380.410000000011</v>
          </cell>
        </row>
        <row r="567">
          <cell r="J567">
            <v>31297.080000000009</v>
          </cell>
        </row>
        <row r="568">
          <cell r="J568">
            <v>27297.080000000009</v>
          </cell>
        </row>
        <row r="569">
          <cell r="J569">
            <v>22897.080000000009</v>
          </cell>
        </row>
        <row r="570">
          <cell r="J570">
            <v>26897.080000000009</v>
          </cell>
        </row>
        <row r="571">
          <cell r="J571">
            <v>23897.080000000009</v>
          </cell>
        </row>
        <row r="572">
          <cell r="J572">
            <v>19497.080000000009</v>
          </cell>
        </row>
        <row r="573">
          <cell r="J573">
            <v>22497.080000000009</v>
          </cell>
        </row>
        <row r="574">
          <cell r="J574">
            <v>26306.600000000009</v>
          </cell>
        </row>
        <row r="575">
          <cell r="J575">
            <v>29223.270000000011</v>
          </cell>
        </row>
        <row r="576">
          <cell r="J576">
            <v>31723.270000000011</v>
          </cell>
        </row>
        <row r="577">
          <cell r="J577">
            <v>36268.720000000008</v>
          </cell>
        </row>
        <row r="578">
          <cell r="J578">
            <v>33768.720000000008</v>
          </cell>
        </row>
        <row r="579">
          <cell r="J579">
            <v>35132.360000000008</v>
          </cell>
        </row>
        <row r="580">
          <cell r="J580">
            <v>38282.360000000008</v>
          </cell>
        </row>
        <row r="581">
          <cell r="J581">
            <v>34982.360000000008</v>
          </cell>
        </row>
        <row r="582">
          <cell r="J582">
            <v>37709.630000000005</v>
          </cell>
        </row>
        <row r="583">
          <cell r="J583">
            <v>33709.630000000005</v>
          </cell>
        </row>
        <row r="584">
          <cell r="J584">
            <v>28209.630000000005</v>
          </cell>
        </row>
        <row r="585">
          <cell r="J585">
            <v>24909.630000000005</v>
          </cell>
        </row>
        <row r="586">
          <cell r="J586">
            <v>26909.630000000005</v>
          </cell>
        </row>
        <row r="587">
          <cell r="J587">
            <v>22409.630000000005</v>
          </cell>
        </row>
        <row r="588">
          <cell r="J588">
            <v>26409.630000000005</v>
          </cell>
        </row>
        <row r="589">
          <cell r="J589">
            <v>28809.630000000005</v>
          </cell>
        </row>
        <row r="590">
          <cell r="J590">
            <v>32809.630000000005</v>
          </cell>
        </row>
        <row r="591">
          <cell r="J591">
            <v>37159.630000000005</v>
          </cell>
        </row>
        <row r="592">
          <cell r="J592">
            <v>40492.960000000006</v>
          </cell>
        </row>
        <row r="593">
          <cell r="J593">
            <v>44242.960000000006</v>
          </cell>
        </row>
        <row r="594">
          <cell r="J594">
            <v>38742.960000000006</v>
          </cell>
        </row>
        <row r="595">
          <cell r="J595">
            <v>41351.660000000003</v>
          </cell>
        </row>
        <row r="596">
          <cell r="J596">
            <v>44351.66</v>
          </cell>
        </row>
        <row r="597">
          <cell r="J597">
            <v>46434.990000000005</v>
          </cell>
        </row>
        <row r="598">
          <cell r="J598">
            <v>49768.320000000007</v>
          </cell>
        </row>
        <row r="599">
          <cell r="J599">
            <v>45268.320000000007</v>
          </cell>
        </row>
        <row r="600">
          <cell r="J600">
            <v>46268.320000000007</v>
          </cell>
        </row>
        <row r="601">
          <cell r="J601">
            <v>49601.650000000009</v>
          </cell>
        </row>
        <row r="602">
          <cell r="J602">
            <v>54601.650000000009</v>
          </cell>
        </row>
        <row r="603">
          <cell r="J603">
            <v>57351.650000000009</v>
          </cell>
        </row>
        <row r="604">
          <cell r="J604">
            <v>61351.650000000009</v>
          </cell>
        </row>
        <row r="605">
          <cell r="J605">
            <v>65264.69000000001</v>
          </cell>
        </row>
        <row r="606">
          <cell r="J606">
            <v>69264.69</v>
          </cell>
        </row>
        <row r="607">
          <cell r="J607">
            <v>66764.69</v>
          </cell>
        </row>
        <row r="608">
          <cell r="J608">
            <v>70401.05</v>
          </cell>
        </row>
        <row r="609">
          <cell r="J609">
            <v>72401.05</v>
          </cell>
        </row>
        <row r="610">
          <cell r="J610">
            <v>75401.05</v>
          </cell>
        </row>
        <row r="611">
          <cell r="J611">
            <v>76851.05</v>
          </cell>
        </row>
        <row r="612">
          <cell r="J612">
            <v>73551.05</v>
          </cell>
        </row>
        <row r="613">
          <cell r="J613">
            <v>77551.05</v>
          </cell>
        </row>
        <row r="614">
          <cell r="J614">
            <v>80951.05</v>
          </cell>
        </row>
        <row r="615">
          <cell r="J615">
            <v>85951.05</v>
          </cell>
        </row>
        <row r="616">
          <cell r="J616">
            <v>82651.05</v>
          </cell>
        </row>
        <row r="617">
          <cell r="J617">
            <v>87051.05</v>
          </cell>
        </row>
        <row r="618">
          <cell r="J618">
            <v>83751.05</v>
          </cell>
        </row>
        <row r="619">
          <cell r="J619">
            <v>85751.05</v>
          </cell>
        </row>
        <row r="620">
          <cell r="J620">
            <v>81351.05</v>
          </cell>
        </row>
        <row r="621">
          <cell r="J621">
            <v>76851.05</v>
          </cell>
        </row>
        <row r="622">
          <cell r="J622">
            <v>74651.05</v>
          </cell>
        </row>
        <row r="623">
          <cell r="J623">
            <v>78564.09</v>
          </cell>
        </row>
        <row r="624">
          <cell r="J624">
            <v>80064.09</v>
          </cell>
        </row>
        <row r="625">
          <cell r="J625">
            <v>76064.09</v>
          </cell>
        </row>
        <row r="626">
          <cell r="J626">
            <v>70564.09</v>
          </cell>
        </row>
        <row r="627">
          <cell r="J627">
            <v>69564.09</v>
          </cell>
        </row>
        <row r="628">
          <cell r="J628">
            <v>73655</v>
          </cell>
        </row>
        <row r="629">
          <cell r="J629">
            <v>72555</v>
          </cell>
        </row>
        <row r="630">
          <cell r="J630">
            <v>75282.27</v>
          </cell>
        </row>
        <row r="631">
          <cell r="J631">
            <v>78918.63</v>
          </cell>
        </row>
        <row r="632">
          <cell r="J632">
            <v>74918.63</v>
          </cell>
        </row>
        <row r="633">
          <cell r="J633">
            <v>70418.63</v>
          </cell>
        </row>
        <row r="634">
          <cell r="J634">
            <v>75001.960000000006</v>
          </cell>
        </row>
        <row r="635">
          <cell r="J635">
            <v>77085.290000000008</v>
          </cell>
        </row>
        <row r="636">
          <cell r="J636">
            <v>80721.650000000009</v>
          </cell>
        </row>
        <row r="637">
          <cell r="J637">
            <v>84721.650000000009</v>
          </cell>
        </row>
        <row r="638">
          <cell r="J638">
            <v>80721.650000000009</v>
          </cell>
        </row>
        <row r="639">
          <cell r="J639">
            <v>84471.650000000009</v>
          </cell>
        </row>
        <row r="640">
          <cell r="J640">
            <v>86871.650000000009</v>
          </cell>
        </row>
        <row r="641">
          <cell r="J641">
            <v>88871.650000000009</v>
          </cell>
        </row>
        <row r="642">
          <cell r="J642">
            <v>85571.650000000009</v>
          </cell>
        </row>
        <row r="643">
          <cell r="J643">
            <v>90117.1</v>
          </cell>
        </row>
        <row r="644">
          <cell r="J644">
            <v>91367.1</v>
          </cell>
        </row>
        <row r="645">
          <cell r="J645">
            <v>96367.1</v>
          </cell>
        </row>
        <row r="646">
          <cell r="J646">
            <v>94867.1</v>
          </cell>
        </row>
        <row r="647">
          <cell r="J647">
            <v>90367.1</v>
          </cell>
        </row>
        <row r="648">
          <cell r="J648">
            <v>95367.1</v>
          </cell>
        </row>
        <row r="649">
          <cell r="J649">
            <v>97367.1</v>
          </cell>
        </row>
        <row r="650">
          <cell r="J650">
            <v>92967.1</v>
          </cell>
        </row>
        <row r="651">
          <cell r="J651">
            <v>91967.1</v>
          </cell>
        </row>
        <row r="652">
          <cell r="J652">
            <v>88467.1</v>
          </cell>
        </row>
        <row r="653">
          <cell r="J653">
            <v>84467.1</v>
          </cell>
        </row>
        <row r="654">
          <cell r="J654">
            <v>88467.1</v>
          </cell>
        </row>
        <row r="655">
          <cell r="J655">
            <v>92380.14</v>
          </cell>
        </row>
        <row r="656">
          <cell r="J656">
            <v>94880.14</v>
          </cell>
        </row>
        <row r="657">
          <cell r="J657">
            <v>90480.14</v>
          </cell>
        </row>
        <row r="658">
          <cell r="J658">
            <v>95480.14</v>
          </cell>
        </row>
        <row r="659">
          <cell r="J659">
            <v>91980.14</v>
          </cell>
        </row>
        <row r="660">
          <cell r="J660">
            <v>90880.14</v>
          </cell>
        </row>
        <row r="661">
          <cell r="J661">
            <v>86880.14</v>
          </cell>
        </row>
        <row r="662">
          <cell r="J662">
            <v>81880.14</v>
          </cell>
        </row>
        <row r="663">
          <cell r="J663">
            <v>77480.14</v>
          </cell>
        </row>
        <row r="664">
          <cell r="J664">
            <v>76480.14</v>
          </cell>
        </row>
        <row r="665">
          <cell r="J665">
            <v>72080.14</v>
          </cell>
        </row>
        <row r="666">
          <cell r="J666">
            <v>72080.14</v>
          </cell>
        </row>
        <row r="667">
          <cell r="J667">
            <v>75080.14</v>
          </cell>
        </row>
        <row r="668">
          <cell r="J668">
            <v>71080.14</v>
          </cell>
        </row>
        <row r="669">
          <cell r="J669">
            <v>75663.47</v>
          </cell>
        </row>
        <row r="670">
          <cell r="J670">
            <v>79737.540000000008</v>
          </cell>
        </row>
        <row r="671">
          <cell r="J671">
            <v>83737.540000000008</v>
          </cell>
        </row>
        <row r="672">
          <cell r="J672">
            <v>83737.540000000008</v>
          </cell>
        </row>
        <row r="673">
          <cell r="J673">
            <v>85737.540000000008</v>
          </cell>
        </row>
        <row r="674">
          <cell r="J674">
            <v>80237.540000000008</v>
          </cell>
        </row>
        <row r="675">
          <cell r="J675">
            <v>76737.540000000008</v>
          </cell>
        </row>
        <row r="676">
          <cell r="J676">
            <v>75637.540000000008</v>
          </cell>
        </row>
        <row r="677">
          <cell r="J677">
            <v>78970.87000000001</v>
          </cell>
        </row>
        <row r="678">
          <cell r="J678">
            <v>83070.87000000001</v>
          </cell>
        </row>
        <row r="679">
          <cell r="J679">
            <v>86070.87000000001</v>
          </cell>
        </row>
        <row r="680">
          <cell r="J680">
            <v>89707.23000000001</v>
          </cell>
        </row>
        <row r="681">
          <cell r="J681">
            <v>93507.23000000001</v>
          </cell>
        </row>
        <row r="682">
          <cell r="J682">
            <v>96507.23000000001</v>
          </cell>
        </row>
        <row r="683">
          <cell r="J683">
            <v>100507.23000000001</v>
          </cell>
        </row>
        <row r="684">
          <cell r="J684">
            <v>97207.23000000001</v>
          </cell>
        </row>
        <row r="685">
          <cell r="J685">
            <v>102207.23000000001</v>
          </cell>
        </row>
        <row r="686">
          <cell r="J686">
            <v>105843.59000000001</v>
          </cell>
        </row>
        <row r="687">
          <cell r="J687">
            <v>104743.59000000001</v>
          </cell>
        </row>
        <row r="688">
          <cell r="J688">
            <v>100343.59000000001</v>
          </cell>
        </row>
        <row r="689">
          <cell r="J689">
            <v>104093.59000000001</v>
          </cell>
        </row>
        <row r="690">
          <cell r="J690">
            <v>99693.590000000011</v>
          </cell>
        </row>
        <row r="691">
          <cell r="J691">
            <v>95693.590000000011</v>
          </cell>
        </row>
        <row r="692">
          <cell r="J692">
            <v>99443.590000000011</v>
          </cell>
        </row>
        <row r="693">
          <cell r="J693">
            <v>95043.590000000011</v>
          </cell>
        </row>
        <row r="694">
          <cell r="J694">
            <v>95043.590000000011</v>
          </cell>
        </row>
        <row r="695">
          <cell r="J695">
            <v>97043.590000000011</v>
          </cell>
        </row>
        <row r="696">
          <cell r="J696">
            <v>100679.95000000001</v>
          </cell>
        </row>
        <row r="697">
          <cell r="J697">
            <v>97379.950000000012</v>
          </cell>
        </row>
        <row r="698">
          <cell r="J698">
            <v>96379.950000000012</v>
          </cell>
        </row>
        <row r="699">
          <cell r="J699">
            <v>90879.950000000012</v>
          </cell>
        </row>
        <row r="700">
          <cell r="J700">
            <v>93879.950000000012</v>
          </cell>
        </row>
        <row r="701">
          <cell r="J701">
            <v>95429.950000000012</v>
          </cell>
        </row>
        <row r="702">
          <cell r="J702">
            <v>91029.950000000012</v>
          </cell>
        </row>
        <row r="703">
          <cell r="J703">
            <v>85529.950000000012</v>
          </cell>
        </row>
        <row r="704">
          <cell r="J704">
            <v>81229.950000000012</v>
          </cell>
        </row>
        <row r="705">
          <cell r="J705">
            <v>80229.950000000012</v>
          </cell>
        </row>
        <row r="706">
          <cell r="J706">
            <v>84229.950000000012</v>
          </cell>
        </row>
        <row r="707">
          <cell r="J707">
            <v>88229.950000000012</v>
          </cell>
        </row>
        <row r="708">
          <cell r="J708">
            <v>92229.950000000012</v>
          </cell>
        </row>
        <row r="709">
          <cell r="J709">
            <v>87229.950000000012</v>
          </cell>
        </row>
        <row r="710">
          <cell r="J710">
            <v>91229.950000000012</v>
          </cell>
        </row>
        <row r="711">
          <cell r="J711">
            <v>87929.950000000012</v>
          </cell>
        </row>
        <row r="712">
          <cell r="J712">
            <v>94929.950000000012</v>
          </cell>
        </row>
        <row r="713">
          <cell r="J713">
            <v>98929.950000000012</v>
          </cell>
        </row>
        <row r="714">
          <cell r="J714">
            <v>102111.77000000002</v>
          </cell>
        </row>
        <row r="715">
          <cell r="J715">
            <v>104839.04000000002</v>
          </cell>
        </row>
        <row r="716">
          <cell r="J716">
            <v>99339.040000000023</v>
          </cell>
        </row>
        <row r="717">
          <cell r="J717">
            <v>102672.37000000002</v>
          </cell>
        </row>
        <row r="718">
          <cell r="J718">
            <v>106672.37000000002</v>
          </cell>
        </row>
        <row r="719">
          <cell r="J719">
            <v>108572.37000000002</v>
          </cell>
        </row>
        <row r="720">
          <cell r="J720">
            <v>105272.37000000002</v>
          </cell>
        </row>
        <row r="721">
          <cell r="J721">
            <v>101272.37000000002</v>
          </cell>
        </row>
        <row r="722">
          <cell r="J722">
            <v>95772.370000000024</v>
          </cell>
        </row>
        <row r="723">
          <cell r="J723">
            <v>99772.370000000024</v>
          </cell>
        </row>
        <row r="724">
          <cell r="J724">
            <v>95372.370000000024</v>
          </cell>
        </row>
        <row r="725">
          <cell r="J725">
            <v>99372.370000000024</v>
          </cell>
        </row>
        <row r="726">
          <cell r="J726">
            <v>98372.370000000024</v>
          </cell>
        </row>
        <row r="727">
          <cell r="J727">
            <v>92872.370000000024</v>
          </cell>
        </row>
        <row r="728">
          <cell r="J728">
            <v>96872.370000000024</v>
          </cell>
        </row>
        <row r="729">
          <cell r="J729">
            <v>92472.370000000024</v>
          </cell>
        </row>
        <row r="730">
          <cell r="J730">
            <v>97017.820000000022</v>
          </cell>
        </row>
        <row r="731">
          <cell r="J731">
            <v>104317.82000000002</v>
          </cell>
        </row>
        <row r="732">
          <cell r="J732">
            <v>109317.82000000002</v>
          </cell>
        </row>
        <row r="733">
          <cell r="J733">
            <v>113317.82000000002</v>
          </cell>
        </row>
        <row r="734">
          <cell r="J734">
            <v>110017.82000000002</v>
          </cell>
        </row>
        <row r="735">
          <cell r="J735">
            <v>113017.82000000002</v>
          </cell>
        </row>
        <row r="736">
          <cell r="J736">
            <v>117017.82000000002</v>
          </cell>
        </row>
        <row r="737">
          <cell r="J737">
            <v>112617.82000000002</v>
          </cell>
        </row>
        <row r="738">
          <cell r="J738">
            <v>116254.18000000002</v>
          </cell>
        </row>
        <row r="739">
          <cell r="J739">
            <v>112954.18000000002</v>
          </cell>
        </row>
        <row r="740">
          <cell r="J740">
            <v>115954.18000000002</v>
          </cell>
        </row>
        <row r="741">
          <cell r="J741">
            <v>110454.18000000002</v>
          </cell>
        </row>
        <row r="742">
          <cell r="J742">
            <v>113454.18000000002</v>
          </cell>
        </row>
        <row r="743">
          <cell r="J743">
            <v>108954.18000000002</v>
          </cell>
        </row>
        <row r="744">
          <cell r="J744">
            <v>112954.18000000002</v>
          </cell>
        </row>
        <row r="745">
          <cell r="J745">
            <v>116954.18000000002</v>
          </cell>
        </row>
        <row r="746">
          <cell r="J746">
            <v>120954.18000000002</v>
          </cell>
        </row>
        <row r="747">
          <cell r="J747">
            <v>123954.18000000002</v>
          </cell>
        </row>
        <row r="748">
          <cell r="J748">
            <v>127954.18000000002</v>
          </cell>
        </row>
        <row r="749">
          <cell r="J749">
            <v>150454.18000000002</v>
          </cell>
        </row>
        <row r="750">
          <cell r="J750">
            <v>155454.18000000002</v>
          </cell>
        </row>
        <row r="751">
          <cell r="J751">
            <v>152154.18000000002</v>
          </cell>
        </row>
        <row r="752">
          <cell r="J752">
            <v>156154.18000000002</v>
          </cell>
        </row>
        <row r="753">
          <cell r="J753">
            <v>160699.63000000003</v>
          </cell>
        </row>
        <row r="754">
          <cell r="J754">
            <v>163699.63000000003</v>
          </cell>
        </row>
        <row r="755">
          <cell r="J755">
            <v>166219.63000000003</v>
          </cell>
        </row>
        <row r="756">
          <cell r="J756">
            <v>167219.63000000003</v>
          </cell>
        </row>
        <row r="757">
          <cell r="J757">
            <v>171219.63000000003</v>
          </cell>
        </row>
        <row r="758">
          <cell r="J758">
            <v>166819.63000000003</v>
          </cell>
        </row>
        <row r="759">
          <cell r="J759">
            <v>169819.63000000003</v>
          </cell>
        </row>
        <row r="760">
          <cell r="J760">
            <v>174819.63000000003</v>
          </cell>
        </row>
        <row r="761">
          <cell r="J761">
            <v>177819.63000000003</v>
          </cell>
        </row>
        <row r="762">
          <cell r="J762">
            <v>173419.63000000003</v>
          </cell>
        </row>
        <row r="763">
          <cell r="J763">
            <v>178419.63000000003</v>
          </cell>
        </row>
        <row r="764">
          <cell r="J764">
            <v>174019.63000000003</v>
          </cell>
        </row>
        <row r="765">
          <cell r="J765">
            <v>173019.63000000003</v>
          </cell>
        </row>
        <row r="766">
          <cell r="J766">
            <v>176352.96000000002</v>
          </cell>
        </row>
        <row r="767">
          <cell r="J767">
            <v>181352.96000000002</v>
          </cell>
        </row>
        <row r="768">
          <cell r="J768">
            <v>184352.96000000002</v>
          </cell>
        </row>
        <row r="769">
          <cell r="J769">
            <v>187352.96000000002</v>
          </cell>
        </row>
        <row r="770">
          <cell r="J770">
            <v>185152.96000000002</v>
          </cell>
        </row>
        <row r="771">
          <cell r="J771">
            <v>179652.96000000002</v>
          </cell>
        </row>
        <row r="772">
          <cell r="J772">
            <v>178152.96000000002</v>
          </cell>
        </row>
        <row r="773">
          <cell r="J773">
            <v>182152.96000000002</v>
          </cell>
        </row>
        <row r="774">
          <cell r="J774">
            <v>185069.63000000003</v>
          </cell>
        </row>
        <row r="775">
          <cell r="J775">
            <v>181769.63000000003</v>
          </cell>
        </row>
        <row r="776">
          <cell r="J776">
            <v>186769.63000000003</v>
          </cell>
        </row>
        <row r="777">
          <cell r="J777">
            <v>189496.90000000002</v>
          </cell>
        </row>
        <row r="778">
          <cell r="J778">
            <v>185496.90000000002</v>
          </cell>
        </row>
        <row r="779">
          <cell r="J779">
            <v>188496.90000000002</v>
          </cell>
        </row>
        <row r="780">
          <cell r="J780">
            <v>182996.90000000002</v>
          </cell>
        </row>
        <row r="781">
          <cell r="J781">
            <v>186746.90000000002</v>
          </cell>
        </row>
        <row r="782">
          <cell r="J782">
            <v>190746.90000000002</v>
          </cell>
        </row>
        <row r="783">
          <cell r="J783">
            <v>186546.90000000002</v>
          </cell>
        </row>
        <row r="784">
          <cell r="J784">
            <v>182546.90000000002</v>
          </cell>
        </row>
        <row r="785">
          <cell r="J785">
            <v>186546.90000000002</v>
          </cell>
        </row>
        <row r="786">
          <cell r="J786">
            <v>191546.90000000002</v>
          </cell>
        </row>
        <row r="787">
          <cell r="J787">
            <v>190546.90000000002</v>
          </cell>
        </row>
        <row r="788">
          <cell r="J788">
            <v>194546.90000000002</v>
          </cell>
        </row>
        <row r="789">
          <cell r="J789">
            <v>199046.90000000002</v>
          </cell>
        </row>
        <row r="790">
          <cell r="J790">
            <v>195046.90000000002</v>
          </cell>
        </row>
        <row r="791">
          <cell r="J791">
            <v>197046.90000000002</v>
          </cell>
        </row>
        <row r="792">
          <cell r="J792">
            <v>194846.90000000002</v>
          </cell>
        </row>
        <row r="793">
          <cell r="J793">
            <v>197846.90000000002</v>
          </cell>
        </row>
        <row r="794">
          <cell r="J794">
            <v>201846.90000000002</v>
          </cell>
        </row>
        <row r="795">
          <cell r="J795">
            <v>196346.90000000002</v>
          </cell>
        </row>
        <row r="796">
          <cell r="J796">
            <v>199346.90000000002</v>
          </cell>
        </row>
        <row r="797">
          <cell r="J797">
            <v>203346.90000000002</v>
          </cell>
        </row>
        <row r="798">
          <cell r="J798">
            <v>207346.90000000002</v>
          </cell>
        </row>
        <row r="799">
          <cell r="J799">
            <v>211346.90000000002</v>
          </cell>
        </row>
        <row r="800">
          <cell r="J800">
            <v>215346.90000000002</v>
          </cell>
        </row>
        <row r="801">
          <cell r="J801">
            <v>220346.90000000002</v>
          </cell>
        </row>
        <row r="802">
          <cell r="J802">
            <v>216346.90000000002</v>
          </cell>
        </row>
        <row r="803">
          <cell r="J803">
            <v>213046.90000000002</v>
          </cell>
        </row>
        <row r="804">
          <cell r="J804">
            <v>208546.90000000002</v>
          </cell>
        </row>
        <row r="805">
          <cell r="J805">
            <v>204146.90000000002</v>
          </cell>
        </row>
        <row r="806">
          <cell r="J806">
            <v>201946.90000000002</v>
          </cell>
        </row>
        <row r="807">
          <cell r="J807">
            <v>197546.90000000002</v>
          </cell>
        </row>
        <row r="808">
          <cell r="J808">
            <v>193146.90000000002</v>
          </cell>
        </row>
        <row r="809">
          <cell r="J809">
            <v>194146.90000000002</v>
          </cell>
        </row>
        <row r="810">
          <cell r="J810">
            <v>199146.90000000002</v>
          </cell>
        </row>
        <row r="811">
          <cell r="J811">
            <v>194746.90000000002</v>
          </cell>
        </row>
        <row r="812">
          <cell r="J812">
            <v>194746.90000000002</v>
          </cell>
        </row>
        <row r="813">
          <cell r="J813">
            <v>197746.90000000002</v>
          </cell>
        </row>
        <row r="814">
          <cell r="J814">
            <v>202746.90000000002</v>
          </cell>
        </row>
        <row r="815">
          <cell r="J815">
            <v>205746.90000000002</v>
          </cell>
        </row>
        <row r="816">
          <cell r="J816">
            <v>201346.90000000002</v>
          </cell>
        </row>
        <row r="817">
          <cell r="J817">
            <v>206346.90000000002</v>
          </cell>
        </row>
        <row r="818">
          <cell r="J818">
            <v>210346.90000000002</v>
          </cell>
        </row>
        <row r="819">
          <cell r="J819">
            <v>212346.90000000002</v>
          </cell>
        </row>
        <row r="820">
          <cell r="J820">
            <v>207946.90000000002</v>
          </cell>
        </row>
        <row r="821">
          <cell r="J821">
            <v>211946.90000000002</v>
          </cell>
        </row>
        <row r="822">
          <cell r="J822">
            <v>209746.90000000002</v>
          </cell>
        </row>
        <row r="823">
          <cell r="J823">
            <v>204246.90000000002</v>
          </cell>
        </row>
        <row r="824">
          <cell r="J824">
            <v>208246.90000000002</v>
          </cell>
        </row>
        <row r="825">
          <cell r="J825">
            <v>208246.90000000002</v>
          </cell>
        </row>
        <row r="826">
          <cell r="J826">
            <v>211246.90000000002</v>
          </cell>
        </row>
        <row r="827">
          <cell r="J827">
            <v>215246.90000000002</v>
          </cell>
        </row>
        <row r="828">
          <cell r="J828">
            <v>213046.90000000002</v>
          </cell>
        </row>
        <row r="829">
          <cell r="J829">
            <v>208646.90000000002</v>
          </cell>
        </row>
        <row r="830">
          <cell r="J830">
            <v>206446.90000000002</v>
          </cell>
        </row>
        <row r="831">
          <cell r="J831">
            <v>201046.90000000002</v>
          </cell>
        </row>
        <row r="832">
          <cell r="J832">
            <v>195546.90000000002</v>
          </cell>
        </row>
        <row r="833">
          <cell r="J833">
            <v>192246.90000000002</v>
          </cell>
        </row>
        <row r="834">
          <cell r="J834">
            <v>187846.90000000002</v>
          </cell>
        </row>
        <row r="835">
          <cell r="J835">
            <v>182846.90000000002</v>
          </cell>
        </row>
        <row r="836">
          <cell r="J836">
            <v>186846.90000000002</v>
          </cell>
        </row>
        <row r="837">
          <cell r="J837">
            <v>183846.90000000002</v>
          </cell>
        </row>
        <row r="838">
          <cell r="J838">
            <v>183846.90000000002</v>
          </cell>
        </row>
        <row r="839">
          <cell r="J839">
            <v>180846.90000000002</v>
          </cell>
        </row>
        <row r="840">
          <cell r="J840">
            <v>183846.90000000002</v>
          </cell>
        </row>
        <row r="841">
          <cell r="J841">
            <v>179346.90000000002</v>
          </cell>
        </row>
        <row r="842">
          <cell r="J842">
            <v>183346.90000000002</v>
          </cell>
        </row>
        <row r="843">
          <cell r="J843">
            <v>180046.90000000002</v>
          </cell>
        </row>
        <row r="844">
          <cell r="J844">
            <v>184046.90000000002</v>
          </cell>
        </row>
        <row r="845">
          <cell r="J845">
            <v>180746.90000000002</v>
          </cell>
        </row>
        <row r="846">
          <cell r="J846">
            <v>175246.90000000002</v>
          </cell>
        </row>
        <row r="847">
          <cell r="J847">
            <v>174246.90000000002</v>
          </cell>
        </row>
        <row r="848">
          <cell r="J848">
            <v>177290.38000000003</v>
          </cell>
        </row>
        <row r="849">
          <cell r="J849">
            <v>175090.38000000003</v>
          </cell>
        </row>
        <row r="850">
          <cell r="J850">
            <v>178090.38000000003</v>
          </cell>
        </row>
        <row r="851">
          <cell r="J851">
            <v>173590.38000000003</v>
          </cell>
        </row>
        <row r="852">
          <cell r="J852">
            <v>168090.38000000003</v>
          </cell>
        </row>
        <row r="853">
          <cell r="J853">
            <v>164790.38000000003</v>
          </cell>
        </row>
        <row r="854">
          <cell r="J854">
            <v>165790.38000000003</v>
          </cell>
        </row>
        <row r="855">
          <cell r="J855">
            <v>169790.38000000003</v>
          </cell>
        </row>
        <row r="856">
          <cell r="J856">
            <v>172790.38000000003</v>
          </cell>
        </row>
        <row r="857">
          <cell r="J857">
            <v>174790.38000000003</v>
          </cell>
        </row>
        <row r="858">
          <cell r="J858">
            <v>170390.38000000003</v>
          </cell>
        </row>
        <row r="859">
          <cell r="J859">
            <v>175390.38000000003</v>
          </cell>
        </row>
        <row r="860">
          <cell r="J860">
            <v>179973.71000000002</v>
          </cell>
        </row>
        <row r="861">
          <cell r="J861">
            <v>174973.71000000002</v>
          </cell>
        </row>
        <row r="862">
          <cell r="J862">
            <v>178973.71000000002</v>
          </cell>
        </row>
        <row r="863">
          <cell r="J863">
            <v>182973.71000000002</v>
          </cell>
        </row>
        <row r="864">
          <cell r="J864">
            <v>185973.71000000002</v>
          </cell>
        </row>
        <row r="865">
          <cell r="J865">
            <v>189973.71000000002</v>
          </cell>
        </row>
        <row r="866">
          <cell r="J866">
            <v>188973.71000000002</v>
          </cell>
        </row>
        <row r="867">
          <cell r="J867">
            <v>189883.71000000002</v>
          </cell>
        </row>
        <row r="868">
          <cell r="J868">
            <v>189883.71000000002</v>
          </cell>
        </row>
        <row r="869">
          <cell r="J869">
            <v>185483.71000000002</v>
          </cell>
        </row>
        <row r="870">
          <cell r="J870">
            <v>189483.71000000002</v>
          </cell>
        </row>
        <row r="871">
          <cell r="J871">
            <v>186183.71000000002</v>
          </cell>
        </row>
        <row r="872">
          <cell r="J872">
            <v>182883.71000000002</v>
          </cell>
        </row>
        <row r="873">
          <cell r="J873">
            <v>186183.71000000002</v>
          </cell>
        </row>
        <row r="874">
          <cell r="J874">
            <v>180683.71000000002</v>
          </cell>
        </row>
        <row r="875">
          <cell r="J875">
            <v>185683.71000000002</v>
          </cell>
        </row>
        <row r="876">
          <cell r="J876">
            <v>183483.71000000002</v>
          </cell>
        </row>
        <row r="877">
          <cell r="J877">
            <v>186483.71000000002</v>
          </cell>
        </row>
        <row r="878">
          <cell r="J878">
            <v>191483.71000000002</v>
          </cell>
        </row>
        <row r="879">
          <cell r="J879">
            <v>194983.71000000002</v>
          </cell>
        </row>
        <row r="880">
          <cell r="J880">
            <v>189983.71000000002</v>
          </cell>
        </row>
        <row r="881">
          <cell r="J881">
            <v>192983.71000000002</v>
          </cell>
        </row>
        <row r="882">
          <cell r="J882">
            <v>197983.71000000002</v>
          </cell>
        </row>
        <row r="883">
          <cell r="J883">
            <v>196983.71000000002</v>
          </cell>
        </row>
        <row r="884">
          <cell r="J884">
            <v>195983.71000000002</v>
          </cell>
        </row>
        <row r="885">
          <cell r="J885">
            <v>199733.71000000002</v>
          </cell>
        </row>
        <row r="886">
          <cell r="J886">
            <v>204733.71000000002</v>
          </cell>
        </row>
        <row r="887">
          <cell r="J887">
            <v>207933.71000000002</v>
          </cell>
        </row>
        <row r="888">
          <cell r="J888">
            <v>214423.71000000002</v>
          </cell>
        </row>
        <row r="889">
          <cell r="J889">
            <v>207923.71000000002</v>
          </cell>
        </row>
        <row r="890">
          <cell r="J890">
            <v>201923.71000000002</v>
          </cell>
        </row>
        <row r="891">
          <cell r="J891">
            <v>198623.71000000002</v>
          </cell>
        </row>
        <row r="892">
          <cell r="J892">
            <v>200623.71000000002</v>
          </cell>
        </row>
        <row r="893">
          <cell r="J893">
            <v>204536.75000000003</v>
          </cell>
        </row>
        <row r="894">
          <cell r="J894">
            <v>205786.75000000003</v>
          </cell>
        </row>
        <row r="895">
          <cell r="J895">
            <v>201286.75000000003</v>
          </cell>
        </row>
        <row r="896">
          <cell r="J896">
            <v>201286.75000000003</v>
          </cell>
        </row>
        <row r="897">
          <cell r="J897">
            <v>199086.75000000003</v>
          </cell>
        </row>
        <row r="898">
          <cell r="J898">
            <v>194086.75000000003</v>
          </cell>
        </row>
        <row r="899">
          <cell r="J899">
            <v>192986.75000000003</v>
          </cell>
        </row>
        <row r="900">
          <cell r="J900">
            <v>189686.75000000003</v>
          </cell>
        </row>
        <row r="901">
          <cell r="J901">
            <v>192686.75000000003</v>
          </cell>
        </row>
        <row r="902">
          <cell r="J902">
            <v>188286.75000000003</v>
          </cell>
        </row>
        <row r="903">
          <cell r="J903">
            <v>190286.75000000003</v>
          </cell>
        </row>
        <row r="904">
          <cell r="J904">
            <v>186986.75000000003</v>
          </cell>
        </row>
        <row r="905">
          <cell r="J905">
            <v>190320.08000000002</v>
          </cell>
        </row>
        <row r="906">
          <cell r="J906">
            <v>187320.08000000002</v>
          </cell>
        </row>
        <row r="907">
          <cell r="J907">
            <v>189320.08000000002</v>
          </cell>
        </row>
        <row r="908">
          <cell r="J908">
            <v>192320.08000000002</v>
          </cell>
        </row>
        <row r="909">
          <cell r="J909">
            <v>194070.08000000002</v>
          </cell>
        </row>
        <row r="910">
          <cell r="J910">
            <v>198070.08000000002</v>
          </cell>
        </row>
        <row r="911">
          <cell r="J911">
            <v>200070.08000000002</v>
          </cell>
        </row>
        <row r="912">
          <cell r="J912">
            <v>204653.41</v>
          </cell>
        </row>
        <row r="913">
          <cell r="J913">
            <v>208653.41</v>
          </cell>
        </row>
        <row r="914">
          <cell r="J914">
            <v>211653.41</v>
          </cell>
        </row>
        <row r="915">
          <cell r="J915">
            <v>209453.41</v>
          </cell>
        </row>
        <row r="916">
          <cell r="J916">
            <v>206153.41</v>
          </cell>
        </row>
        <row r="917">
          <cell r="J917">
            <v>199553.41</v>
          </cell>
        </row>
        <row r="918">
          <cell r="J918">
            <v>201553.41</v>
          </cell>
        </row>
        <row r="919">
          <cell r="J919">
            <v>203220.08000000002</v>
          </cell>
        </row>
        <row r="920">
          <cell r="J920">
            <v>207386.75000000003</v>
          </cell>
        </row>
        <row r="921">
          <cell r="J921">
            <v>210386.75000000003</v>
          </cell>
        </row>
        <row r="922">
          <cell r="J922">
            <v>213386.75000000003</v>
          </cell>
        </row>
        <row r="923">
          <cell r="J923">
            <v>218386.75000000003</v>
          </cell>
        </row>
        <row r="924">
          <cell r="J924">
            <v>220386.75000000003</v>
          </cell>
        </row>
        <row r="925">
          <cell r="J925">
            <v>219386.75000000003</v>
          </cell>
        </row>
        <row r="926">
          <cell r="J926">
            <v>223386.75000000003</v>
          </cell>
        </row>
        <row r="927">
          <cell r="J927">
            <v>220086.75000000003</v>
          </cell>
        </row>
        <row r="928">
          <cell r="J928">
            <v>218986.75000000003</v>
          </cell>
        </row>
        <row r="929">
          <cell r="J929">
            <v>221986.75000000003</v>
          </cell>
        </row>
        <row r="930">
          <cell r="J930">
            <v>222986.75000000003</v>
          </cell>
        </row>
        <row r="931">
          <cell r="J931">
            <v>218486.75000000003</v>
          </cell>
        </row>
        <row r="932">
          <cell r="J932">
            <v>223486.75000000003</v>
          </cell>
        </row>
        <row r="933">
          <cell r="J933">
            <v>217986.75000000003</v>
          </cell>
        </row>
        <row r="934">
          <cell r="J934">
            <v>221986.75000000003</v>
          </cell>
        </row>
        <row r="935">
          <cell r="J935">
            <v>225986.75000000003</v>
          </cell>
        </row>
        <row r="936">
          <cell r="J936">
            <v>229986.75000000003</v>
          </cell>
        </row>
        <row r="937">
          <cell r="J937">
            <v>232986.75000000003</v>
          </cell>
        </row>
        <row r="938">
          <cell r="J938">
            <v>229686.75000000003</v>
          </cell>
        </row>
        <row r="939">
          <cell r="J939">
            <v>226386.75000000003</v>
          </cell>
        </row>
        <row r="940">
          <cell r="J940">
            <v>223086.75000000003</v>
          </cell>
        </row>
        <row r="941">
          <cell r="J941">
            <v>225086.75000000003</v>
          </cell>
        </row>
        <row r="942">
          <cell r="J942">
            <v>227170.08000000002</v>
          </cell>
        </row>
        <row r="943">
          <cell r="J943">
            <v>221670.08000000002</v>
          </cell>
        </row>
        <row r="944">
          <cell r="J944">
            <v>218370.08000000002</v>
          </cell>
        </row>
        <row r="945">
          <cell r="J945">
            <v>217370.08000000002</v>
          </cell>
        </row>
        <row r="946">
          <cell r="J946">
            <v>222370.08000000002</v>
          </cell>
        </row>
        <row r="947">
          <cell r="J947">
            <v>225370.08000000002</v>
          </cell>
        </row>
        <row r="948">
          <cell r="J948">
            <v>228370.08000000002</v>
          </cell>
        </row>
        <row r="949">
          <cell r="J949">
            <v>232370.08000000002</v>
          </cell>
        </row>
        <row r="950">
          <cell r="J950">
            <v>230170.08000000002</v>
          </cell>
        </row>
        <row r="951">
          <cell r="J951">
            <v>233503.41</v>
          </cell>
        </row>
        <row r="952">
          <cell r="J952">
            <v>234503.41</v>
          </cell>
        </row>
        <row r="953">
          <cell r="J953">
            <v>238503.41</v>
          </cell>
        </row>
        <row r="954">
          <cell r="J954">
            <v>241503.41</v>
          </cell>
        </row>
        <row r="955">
          <cell r="J955">
            <v>244503.41</v>
          </cell>
        </row>
        <row r="956">
          <cell r="J956">
            <v>247503.41</v>
          </cell>
        </row>
        <row r="957">
          <cell r="J957">
            <v>251503.41</v>
          </cell>
        </row>
        <row r="958">
          <cell r="J958">
            <v>246003.41</v>
          </cell>
        </row>
        <row r="959">
          <cell r="J959">
            <v>248177.32</v>
          </cell>
        </row>
        <row r="960">
          <cell r="J960">
            <v>249177.32</v>
          </cell>
        </row>
        <row r="961">
          <cell r="J961">
            <v>245177.32</v>
          </cell>
        </row>
        <row r="962">
          <cell r="J962">
            <v>249177.32</v>
          </cell>
        </row>
        <row r="963">
          <cell r="J963">
            <v>252093.99000000002</v>
          </cell>
        </row>
        <row r="964">
          <cell r="J964">
            <v>256876.6</v>
          </cell>
        </row>
        <row r="965">
          <cell r="J965">
            <v>260876.6</v>
          </cell>
        </row>
        <row r="966">
          <cell r="J966">
            <v>256376.6</v>
          </cell>
        </row>
        <row r="967">
          <cell r="J967">
            <v>260376.6</v>
          </cell>
        </row>
        <row r="968">
          <cell r="J968">
            <v>257076.6</v>
          </cell>
        </row>
        <row r="969">
          <cell r="J969">
            <v>259876.6</v>
          </cell>
        </row>
        <row r="970">
          <cell r="J970">
            <v>259876.6</v>
          </cell>
        </row>
        <row r="971">
          <cell r="J971">
            <v>262876.59999999998</v>
          </cell>
        </row>
        <row r="972">
          <cell r="J972">
            <v>264876.59999999998</v>
          </cell>
        </row>
        <row r="973">
          <cell r="J973">
            <v>261576.59999999998</v>
          </cell>
        </row>
        <row r="974">
          <cell r="J974">
            <v>265326.59999999998</v>
          </cell>
        </row>
        <row r="975">
          <cell r="J975">
            <v>262026.59999999998</v>
          </cell>
        </row>
        <row r="976">
          <cell r="J976">
            <v>257626.59999999998</v>
          </cell>
        </row>
        <row r="977">
          <cell r="J977">
            <v>260626.59999999998</v>
          </cell>
        </row>
        <row r="978">
          <cell r="J978">
            <v>255126.59999999998</v>
          </cell>
        </row>
        <row r="979">
          <cell r="J979">
            <v>249626.59999999998</v>
          </cell>
        </row>
        <row r="980">
          <cell r="J980">
            <v>247426.59999999998</v>
          </cell>
        </row>
        <row r="981">
          <cell r="J981">
            <v>251426.59999999998</v>
          </cell>
        </row>
        <row r="982">
          <cell r="J982">
            <v>254626.59999999998</v>
          </cell>
        </row>
        <row r="983">
          <cell r="J983">
            <v>257626.59999999998</v>
          </cell>
        </row>
        <row r="984">
          <cell r="J984">
            <v>261626.59999999998</v>
          </cell>
        </row>
        <row r="985">
          <cell r="J985">
            <v>264626.59999999998</v>
          </cell>
        </row>
        <row r="986">
          <cell r="J986">
            <v>269626.59999999998</v>
          </cell>
        </row>
        <row r="987">
          <cell r="J987">
            <v>268626.59999999998</v>
          </cell>
        </row>
        <row r="988">
          <cell r="J988">
            <v>269626.59999999998</v>
          </cell>
        </row>
        <row r="989">
          <cell r="J989">
            <v>269626.59999999998</v>
          </cell>
        </row>
        <row r="990">
          <cell r="J990">
            <v>266126.59999999998</v>
          </cell>
        </row>
        <row r="991">
          <cell r="J991">
            <v>269459.93</v>
          </cell>
        </row>
        <row r="992">
          <cell r="J992">
            <v>271459.93</v>
          </cell>
        </row>
        <row r="993">
          <cell r="J993">
            <v>268159.93</v>
          </cell>
        </row>
        <row r="994">
          <cell r="J994">
            <v>272942.53999999998</v>
          </cell>
        </row>
        <row r="995">
          <cell r="J995">
            <v>274942.53999999998</v>
          </cell>
        </row>
        <row r="996">
          <cell r="J996">
            <v>277942.53999999998</v>
          </cell>
        </row>
        <row r="997">
          <cell r="J997">
            <v>280859.20999999996</v>
          </cell>
        </row>
        <row r="998">
          <cell r="J998">
            <v>281859.20999999996</v>
          </cell>
        </row>
        <row r="999">
          <cell r="J999">
            <v>286025.87999999995</v>
          </cell>
        </row>
        <row r="1000">
          <cell r="J1000">
            <v>282725.87999999995</v>
          </cell>
        </row>
        <row r="1001">
          <cell r="J1001">
            <v>282725.87999999995</v>
          </cell>
        </row>
        <row r="1002">
          <cell r="J1002">
            <v>284725.87999999995</v>
          </cell>
        </row>
        <row r="1003">
          <cell r="J1003">
            <v>286725.87999999995</v>
          </cell>
        </row>
        <row r="1004">
          <cell r="J1004">
            <v>286725.87999999995</v>
          </cell>
        </row>
        <row r="1005">
          <cell r="J1005">
            <v>281225.87999999995</v>
          </cell>
        </row>
        <row r="1006">
          <cell r="J1006">
            <v>282225.87999999995</v>
          </cell>
        </row>
        <row r="1007">
          <cell r="J1007">
            <v>286225.87999999995</v>
          </cell>
        </row>
        <row r="1008">
          <cell r="J1008">
            <v>282925.87999999995</v>
          </cell>
        </row>
        <row r="1009">
          <cell r="J1009">
            <v>286925.87999999995</v>
          </cell>
        </row>
        <row r="1010">
          <cell r="J1010">
            <v>289925.87999999995</v>
          </cell>
        </row>
        <row r="1011">
          <cell r="J1011">
            <v>291925.87999999995</v>
          </cell>
        </row>
        <row r="1012">
          <cell r="J1012">
            <v>287525.87999999995</v>
          </cell>
        </row>
        <row r="1013">
          <cell r="J1013">
            <v>284225.87999999995</v>
          </cell>
        </row>
        <row r="1014">
          <cell r="J1014">
            <v>278725.87999999995</v>
          </cell>
        </row>
        <row r="1015">
          <cell r="J1015">
            <v>283725.87999999995</v>
          </cell>
        </row>
        <row r="1016">
          <cell r="J1016">
            <v>286453.14999999997</v>
          </cell>
        </row>
        <row r="1017">
          <cell r="J1017">
            <v>290453.14999999997</v>
          </cell>
        </row>
        <row r="1018">
          <cell r="J1018">
            <v>287153.14999999997</v>
          </cell>
        </row>
        <row r="1019">
          <cell r="J1019">
            <v>289253.14999999997</v>
          </cell>
        </row>
        <row r="1020">
          <cell r="J1020">
            <v>284853.14999999997</v>
          </cell>
        </row>
        <row r="1021">
          <cell r="J1021">
            <v>282653.14999999997</v>
          </cell>
        </row>
        <row r="1022">
          <cell r="J1022">
            <v>282653.14999999997</v>
          </cell>
        </row>
        <row r="1023">
          <cell r="J1023">
            <v>277153.14999999997</v>
          </cell>
        </row>
        <row r="1024">
          <cell r="J1024">
            <v>274953.14999999997</v>
          </cell>
        </row>
        <row r="1025">
          <cell r="J1025">
            <v>270553.14999999997</v>
          </cell>
        </row>
        <row r="1026">
          <cell r="J1026">
            <v>267253.14999999997</v>
          </cell>
        </row>
        <row r="1027">
          <cell r="J1027">
            <v>263953.14999999997</v>
          </cell>
        </row>
        <row r="1028">
          <cell r="J1028">
            <v>262953.14999999997</v>
          </cell>
        </row>
        <row r="1029">
          <cell r="J1029">
            <v>259653.14999999997</v>
          </cell>
        </row>
        <row r="1030">
          <cell r="J1030">
            <v>258653.14999999997</v>
          </cell>
        </row>
        <row r="1031">
          <cell r="J1031">
            <v>255653.14999999997</v>
          </cell>
        </row>
        <row r="1032">
          <cell r="J1032">
            <v>260653.14999999997</v>
          </cell>
        </row>
        <row r="1033">
          <cell r="J1033">
            <v>257653.14999999997</v>
          </cell>
        </row>
        <row r="1034">
          <cell r="J1034">
            <v>253253.14999999997</v>
          </cell>
        </row>
        <row r="1035">
          <cell r="J1035">
            <v>254253.14999999997</v>
          </cell>
        </row>
        <row r="1036">
          <cell r="J1036">
            <v>249253.14999999997</v>
          </cell>
        </row>
        <row r="1037">
          <cell r="J1037">
            <v>246753.14999999997</v>
          </cell>
        </row>
        <row r="1038">
          <cell r="J1038">
            <v>242353.14999999997</v>
          </cell>
        </row>
        <row r="1039">
          <cell r="J1039">
            <v>244353.14999999997</v>
          </cell>
        </row>
        <row r="1040">
          <cell r="J1040">
            <v>247353.14999999997</v>
          </cell>
        </row>
        <row r="1041">
          <cell r="J1041">
            <v>252353.14999999997</v>
          </cell>
        </row>
        <row r="1042">
          <cell r="J1042">
            <v>247953.14999999997</v>
          </cell>
        </row>
        <row r="1043">
          <cell r="J1043">
            <v>246953.14999999997</v>
          </cell>
        </row>
        <row r="1044">
          <cell r="J1044">
            <v>244953.14999999997</v>
          </cell>
        </row>
        <row r="1045">
          <cell r="J1045">
            <v>241653.14999999997</v>
          </cell>
        </row>
        <row r="1046">
          <cell r="J1046">
            <v>244986.47999999995</v>
          </cell>
        </row>
        <row r="1047">
          <cell r="J1047">
            <v>247986.47999999995</v>
          </cell>
        </row>
        <row r="1048">
          <cell r="J1048">
            <v>249686.47999999995</v>
          </cell>
        </row>
        <row r="1049">
          <cell r="J1049">
            <v>247486.47999999995</v>
          </cell>
        </row>
        <row r="1050">
          <cell r="J1050">
            <v>244186.47999999995</v>
          </cell>
        </row>
        <row r="1051">
          <cell r="J1051">
            <v>243186.47999999995</v>
          </cell>
        </row>
        <row r="1052">
          <cell r="J1052">
            <v>238786.47999999995</v>
          </cell>
        </row>
        <row r="1053">
          <cell r="J1053">
            <v>236786.47999999995</v>
          </cell>
        </row>
        <row r="1054">
          <cell r="J1054">
            <v>231286.47999999995</v>
          </cell>
        </row>
        <row r="1055">
          <cell r="J1055">
            <v>226886.47999999995</v>
          </cell>
        </row>
        <row r="1056">
          <cell r="J1056">
            <v>229803.14999999997</v>
          </cell>
        </row>
        <row r="1057">
          <cell r="J1057">
            <v>226503.14999999997</v>
          </cell>
        </row>
        <row r="1058">
          <cell r="J1058">
            <v>222103.14999999997</v>
          </cell>
        </row>
        <row r="1059">
          <cell r="J1059">
            <v>224103.14999999997</v>
          </cell>
        </row>
        <row r="1060">
          <cell r="J1060">
            <v>228103.14999999997</v>
          </cell>
        </row>
        <row r="1061">
          <cell r="J1061">
            <v>226603.14999999997</v>
          </cell>
        </row>
        <row r="1062">
          <cell r="J1062">
            <v>229603.14999999997</v>
          </cell>
        </row>
        <row r="1063">
          <cell r="J1063">
            <v>227403.14999999997</v>
          </cell>
        </row>
        <row r="1064">
          <cell r="J1064">
            <v>226403.14999999997</v>
          </cell>
        </row>
        <row r="1065">
          <cell r="J1065">
            <v>228403.14999999997</v>
          </cell>
        </row>
        <row r="1066">
          <cell r="J1066">
            <v>225103.14999999997</v>
          </cell>
        </row>
        <row r="1067">
          <cell r="J1067">
            <v>230103.14999999997</v>
          </cell>
        </row>
        <row r="1068">
          <cell r="J1068">
            <v>234016.18999999997</v>
          </cell>
        </row>
        <row r="1069">
          <cell r="J1069">
            <v>231816.18999999997</v>
          </cell>
        </row>
        <row r="1070">
          <cell r="J1070">
            <v>228516.18999999997</v>
          </cell>
        </row>
        <row r="1071">
          <cell r="J1071">
            <v>233516.18999999997</v>
          </cell>
        </row>
        <row r="1072">
          <cell r="J1072">
            <v>230216.18999999997</v>
          </cell>
        </row>
        <row r="1073">
          <cell r="J1073">
            <v>228216.18999999997</v>
          </cell>
        </row>
        <row r="1074">
          <cell r="J1074">
            <v>223816.18999999997</v>
          </cell>
        </row>
        <row r="1075">
          <cell r="J1075">
            <v>221616.18999999997</v>
          </cell>
        </row>
        <row r="1076">
          <cell r="J1076">
            <v>217116.18999999997</v>
          </cell>
        </row>
        <row r="1077">
          <cell r="J1077">
            <v>216116.18999999997</v>
          </cell>
        </row>
        <row r="1078">
          <cell r="J1078">
            <v>212816.18999999997</v>
          </cell>
        </row>
        <row r="1079">
          <cell r="J1079">
            <v>211716.18999999997</v>
          </cell>
        </row>
        <row r="1080">
          <cell r="J1080">
            <v>208216.18999999997</v>
          </cell>
        </row>
        <row r="1081">
          <cell r="J1081">
            <v>205216.18999999997</v>
          </cell>
        </row>
        <row r="1082">
          <cell r="J1082">
            <v>207216.18999999997</v>
          </cell>
        </row>
        <row r="1083">
          <cell r="J1083">
            <v>211799.51999999996</v>
          </cell>
        </row>
        <row r="1084">
          <cell r="J1084">
            <v>215799.51999999996</v>
          </cell>
        </row>
        <row r="1085">
          <cell r="J1085">
            <v>219299.51999999996</v>
          </cell>
        </row>
        <row r="1086">
          <cell r="J1086">
            <v>219299.51999999996</v>
          </cell>
        </row>
        <row r="1087">
          <cell r="J1087">
            <v>220299.51999999996</v>
          </cell>
        </row>
        <row r="1088">
          <cell r="J1088">
            <v>221299.51999999996</v>
          </cell>
        </row>
        <row r="1089">
          <cell r="J1089">
            <v>215799.51999999996</v>
          </cell>
        </row>
        <row r="1090">
          <cell r="J1090">
            <v>218799.51999999996</v>
          </cell>
        </row>
        <row r="1091">
          <cell r="J1091">
            <v>215499.51999999996</v>
          </cell>
        </row>
        <row r="1092">
          <cell r="J1092">
            <v>217499.51999999996</v>
          </cell>
        </row>
        <row r="1093">
          <cell r="J1093">
            <v>221499.51999999996</v>
          </cell>
        </row>
        <row r="1094">
          <cell r="J1094">
            <v>225499.51999999996</v>
          </cell>
        </row>
        <row r="1095">
          <cell r="J1095">
            <v>224999.51999999996</v>
          </cell>
        </row>
        <row r="1096">
          <cell r="J1096">
            <v>228999.51999999996</v>
          </cell>
        </row>
        <row r="1097">
          <cell r="J1097">
            <v>231999.51999999996</v>
          </cell>
        </row>
        <row r="1098">
          <cell r="J1098">
            <v>229499.51999999996</v>
          </cell>
        </row>
        <row r="1099">
          <cell r="J1099">
            <v>223999.51999999996</v>
          </cell>
        </row>
        <row r="1100">
          <cell r="J1100">
            <v>222899.51999999996</v>
          </cell>
        </row>
        <row r="1101">
          <cell r="J1101">
            <v>221799.51999999996</v>
          </cell>
        </row>
        <row r="1102">
          <cell r="J1102">
            <v>218499.51999999996</v>
          </cell>
        </row>
        <row r="1103">
          <cell r="J1103">
            <v>223499.51999999996</v>
          </cell>
        </row>
        <row r="1104">
          <cell r="J1104">
            <v>225499.51999999996</v>
          </cell>
        </row>
        <row r="1105">
          <cell r="J1105">
            <v>227673.42999999996</v>
          </cell>
        </row>
        <row r="1106">
          <cell r="J1106">
            <v>229673.42999999996</v>
          </cell>
        </row>
        <row r="1107">
          <cell r="J1107">
            <v>230673.42999999996</v>
          </cell>
        </row>
        <row r="1108">
          <cell r="J1108">
            <v>223173.42999999996</v>
          </cell>
        </row>
        <row r="1109">
          <cell r="J1109">
            <v>218873.42999999996</v>
          </cell>
        </row>
        <row r="1110">
          <cell r="J1110">
            <v>216673.42999999996</v>
          </cell>
        </row>
        <row r="1111">
          <cell r="J1111">
            <v>212373.42999999996</v>
          </cell>
        </row>
        <row r="1112">
          <cell r="J1112">
            <v>215290.09999999998</v>
          </cell>
        </row>
        <row r="1113">
          <cell r="J1113">
            <v>218290.09999999998</v>
          </cell>
        </row>
        <row r="1114">
          <cell r="J1114">
            <v>222290.09999999998</v>
          </cell>
        </row>
        <row r="1115">
          <cell r="J1115">
            <v>220090.09999999998</v>
          </cell>
        </row>
        <row r="1116">
          <cell r="J1116">
            <v>215490.09999999998</v>
          </cell>
        </row>
        <row r="1117">
          <cell r="J1117">
            <v>218490.09999999998</v>
          </cell>
        </row>
        <row r="1118">
          <cell r="J1118">
            <v>219671.91999999998</v>
          </cell>
        </row>
        <row r="1119">
          <cell r="J1119">
            <v>220671.91999999998</v>
          </cell>
        </row>
        <row r="1120">
          <cell r="J1120">
            <v>225671.91999999998</v>
          </cell>
        </row>
        <row r="1121">
          <cell r="J1121">
            <v>224671.91999999998</v>
          </cell>
        </row>
        <row r="1122">
          <cell r="J1122">
            <v>222471.91999999998</v>
          </cell>
        </row>
        <row r="1123">
          <cell r="J1123">
            <v>217071.91999999998</v>
          </cell>
        </row>
        <row r="1124">
          <cell r="J1124">
            <v>212571.91999999998</v>
          </cell>
        </row>
        <row r="1125">
          <cell r="J1125">
            <v>211471.91999999998</v>
          </cell>
        </row>
        <row r="1126">
          <cell r="J1126">
            <v>216254.52999999997</v>
          </cell>
        </row>
        <row r="1127">
          <cell r="J1127">
            <v>218254.52999999997</v>
          </cell>
        </row>
        <row r="1128">
          <cell r="J1128">
            <v>220337.85999999996</v>
          </cell>
        </row>
        <row r="1129">
          <cell r="J1129">
            <v>214837.85999999996</v>
          </cell>
        </row>
        <row r="1130">
          <cell r="J1130">
            <v>210437.85999999996</v>
          </cell>
        </row>
        <row r="1131">
          <cell r="J1131">
            <v>212437.85999999996</v>
          </cell>
        </row>
        <row r="1132">
          <cell r="J1132">
            <v>215437.85999999996</v>
          </cell>
        </row>
        <row r="1133">
          <cell r="J1133">
            <v>219437.85999999996</v>
          </cell>
        </row>
        <row r="1134">
          <cell r="J1134">
            <v>215037.85999999996</v>
          </cell>
        </row>
        <row r="1135">
          <cell r="J1135">
            <v>220492.40999999995</v>
          </cell>
        </row>
        <row r="1136">
          <cell r="J1136">
            <v>223492.40999999995</v>
          </cell>
        </row>
        <row r="1137">
          <cell r="J1137">
            <v>226992.40999999995</v>
          </cell>
        </row>
        <row r="1138">
          <cell r="J1138">
            <v>227992.40999999995</v>
          </cell>
        </row>
        <row r="1139">
          <cell r="J1139">
            <v>231992.40999999995</v>
          </cell>
        </row>
        <row r="1140">
          <cell r="J1140">
            <v>225492.40999999995</v>
          </cell>
        </row>
        <row r="1141">
          <cell r="J1141">
            <v>221092.40999999995</v>
          </cell>
        </row>
        <row r="1142">
          <cell r="J1142">
            <v>216692.40999999995</v>
          </cell>
        </row>
        <row r="1143">
          <cell r="J1143">
            <v>212292.40999999995</v>
          </cell>
        </row>
        <row r="1144">
          <cell r="J1144">
            <v>213292.40999999995</v>
          </cell>
        </row>
        <row r="1145">
          <cell r="J1145">
            <v>207792.40999999995</v>
          </cell>
        </row>
        <row r="1146">
          <cell r="J1146">
            <v>204492.40999999995</v>
          </cell>
        </row>
        <row r="1147">
          <cell r="J1147">
            <v>199692.40999999995</v>
          </cell>
        </row>
        <row r="1148">
          <cell r="J1148">
            <v>194292.40999999995</v>
          </cell>
        </row>
        <row r="1149">
          <cell r="J1149">
            <v>198292.40999999995</v>
          </cell>
        </row>
        <row r="1150">
          <cell r="J1150">
            <v>192792.40999999995</v>
          </cell>
        </row>
        <row r="1151">
          <cell r="J1151">
            <v>187292.40999999995</v>
          </cell>
        </row>
        <row r="1152">
          <cell r="J1152">
            <v>183992.40999999995</v>
          </cell>
        </row>
        <row r="1153">
          <cell r="J1153">
            <v>181492.40999999995</v>
          </cell>
        </row>
        <row r="1154">
          <cell r="J1154">
            <v>185310.58999999994</v>
          </cell>
        </row>
        <row r="1155">
          <cell r="J1155">
            <v>188310.58999999994</v>
          </cell>
        </row>
        <row r="1156">
          <cell r="J1156">
            <v>191810.58999999994</v>
          </cell>
        </row>
        <row r="1157">
          <cell r="J1157">
            <v>196210.58999999994</v>
          </cell>
        </row>
        <row r="1158">
          <cell r="J1158">
            <v>192710.58999999994</v>
          </cell>
        </row>
        <row r="1159">
          <cell r="J1159">
            <v>189410.58999999994</v>
          </cell>
        </row>
        <row r="1160">
          <cell r="J1160">
            <v>191410.58999999994</v>
          </cell>
        </row>
        <row r="1161">
          <cell r="J1161">
            <v>187010.58999999994</v>
          </cell>
        </row>
        <row r="1162">
          <cell r="J1162">
            <v>187010.58999999994</v>
          </cell>
        </row>
        <row r="1163">
          <cell r="J1163">
            <v>190010.58999999994</v>
          </cell>
        </row>
        <row r="1164">
          <cell r="J1164">
            <v>193010.58999999994</v>
          </cell>
        </row>
        <row r="1165">
          <cell r="J1165">
            <v>191810.58999999994</v>
          </cell>
        </row>
        <row r="1166">
          <cell r="J1166">
            <v>190710.58999999994</v>
          </cell>
        </row>
        <row r="1167">
          <cell r="J1167">
            <v>194710.58999999994</v>
          </cell>
        </row>
        <row r="1168">
          <cell r="J1168">
            <v>192310.58999999994</v>
          </cell>
        </row>
        <row r="1169">
          <cell r="J1169">
            <v>197310.58999999994</v>
          </cell>
        </row>
        <row r="1170">
          <cell r="J1170">
            <v>200310.58999999994</v>
          </cell>
        </row>
        <row r="1171">
          <cell r="J1171">
            <v>202310.58999999994</v>
          </cell>
        </row>
        <row r="1172">
          <cell r="J1172">
            <v>197910.58999999994</v>
          </cell>
        </row>
        <row r="1173">
          <cell r="J1173">
            <v>202683.31999999995</v>
          </cell>
        </row>
        <row r="1174">
          <cell r="J1174">
            <v>200683.31999999995</v>
          </cell>
        </row>
        <row r="1175">
          <cell r="J1175">
            <v>197183.31999999995</v>
          </cell>
        </row>
        <row r="1176">
          <cell r="J1176">
            <v>200183.31999999995</v>
          </cell>
        </row>
        <row r="1177">
          <cell r="J1177">
            <v>201683.31999999995</v>
          </cell>
        </row>
        <row r="1178">
          <cell r="J1178">
            <v>203733.31999999995</v>
          </cell>
        </row>
        <row r="1179">
          <cell r="J1179">
            <v>207733.31999999995</v>
          </cell>
        </row>
        <row r="1180">
          <cell r="J1180">
            <v>210733.31999999995</v>
          </cell>
        </row>
        <row r="1181">
          <cell r="J1181">
            <v>207433.31999999995</v>
          </cell>
        </row>
        <row r="1182">
          <cell r="J1182">
            <v>201933.31999999995</v>
          </cell>
        </row>
        <row r="1183">
          <cell r="J1183">
            <v>198633.31999999995</v>
          </cell>
        </row>
        <row r="1184">
          <cell r="J1184">
            <v>201633.31999999995</v>
          </cell>
        </row>
        <row r="1185">
          <cell r="J1185">
            <v>204633.31999999995</v>
          </cell>
        </row>
        <row r="1186">
          <cell r="J1186">
            <v>202983.31999999995</v>
          </cell>
        </row>
        <row r="1187">
          <cell r="J1187">
            <v>207566.64999999994</v>
          </cell>
        </row>
        <row r="1188">
          <cell r="J1188">
            <v>204266.64999999994</v>
          </cell>
        </row>
        <row r="1189">
          <cell r="J1189">
            <v>206266.64999999994</v>
          </cell>
        </row>
        <row r="1190">
          <cell r="J1190">
            <v>200766.64999999994</v>
          </cell>
        </row>
        <row r="1191">
          <cell r="J1191">
            <v>205549.25999999992</v>
          </cell>
        </row>
        <row r="1192">
          <cell r="J1192">
            <v>201149.25999999992</v>
          </cell>
        </row>
        <row r="1193">
          <cell r="J1193">
            <v>196749.25999999992</v>
          </cell>
        </row>
        <row r="1194">
          <cell r="J1194">
            <v>199931.07999999993</v>
          </cell>
        </row>
        <row r="1195">
          <cell r="J1195">
            <v>197731.07999999993</v>
          </cell>
        </row>
        <row r="1196">
          <cell r="J1196">
            <v>201821.98999999993</v>
          </cell>
        </row>
        <row r="1197">
          <cell r="J1197">
            <v>205458.34999999992</v>
          </cell>
        </row>
        <row r="1198">
          <cell r="J1198">
            <v>206458.34999999992</v>
          </cell>
        </row>
        <row r="1199">
          <cell r="J1199">
            <v>205358.34999999992</v>
          </cell>
        </row>
        <row r="1200">
          <cell r="J1200">
            <v>202858.34999999992</v>
          </cell>
        </row>
        <row r="1201">
          <cell r="J1201">
            <v>206858.34999999992</v>
          </cell>
        </row>
        <row r="1202">
          <cell r="J1202">
            <v>208508.34999999992</v>
          </cell>
        </row>
        <row r="1203">
          <cell r="J1203">
            <v>203008.34999999992</v>
          </cell>
        </row>
        <row r="1204">
          <cell r="J1204">
            <v>200258.34999999992</v>
          </cell>
        </row>
        <row r="1205">
          <cell r="J1205">
            <v>203258.34999999992</v>
          </cell>
        </row>
        <row r="1206">
          <cell r="J1206">
            <v>203258.34999999992</v>
          </cell>
        </row>
        <row r="1207">
          <cell r="J1207">
            <v>200258.34999999992</v>
          </cell>
        </row>
        <row r="1208">
          <cell r="J1208">
            <v>198058.34999999992</v>
          </cell>
        </row>
        <row r="1209">
          <cell r="J1209">
            <v>196058.34999999992</v>
          </cell>
        </row>
        <row r="1210">
          <cell r="J1210">
            <v>194708.34999999992</v>
          </cell>
        </row>
        <row r="1211">
          <cell r="J1211">
            <v>196708.34999999992</v>
          </cell>
        </row>
        <row r="1212">
          <cell r="J1212">
            <v>197708.34999999992</v>
          </cell>
        </row>
        <row r="1213">
          <cell r="J1213">
            <v>199708.34999999992</v>
          </cell>
        </row>
        <row r="1214">
          <cell r="J1214">
            <v>201058.34999999992</v>
          </cell>
        </row>
        <row r="1215">
          <cell r="J1215">
            <v>202058.34999999992</v>
          </cell>
        </row>
        <row r="1216">
          <cell r="J1216">
            <v>203058.34999999992</v>
          </cell>
        </row>
        <row r="1217">
          <cell r="J1217">
            <v>208058.34999999992</v>
          </cell>
        </row>
        <row r="1218">
          <cell r="J1218">
            <v>204758.34999999992</v>
          </cell>
        </row>
        <row r="1219">
          <cell r="J1219">
            <v>202558.34999999992</v>
          </cell>
        </row>
        <row r="1220">
          <cell r="J1220">
            <v>205058.34999999992</v>
          </cell>
        </row>
        <row r="1221">
          <cell r="J1221">
            <v>207558.34999999992</v>
          </cell>
        </row>
        <row r="1222">
          <cell r="J1222">
            <v>210058.34999999992</v>
          </cell>
        </row>
        <row r="1223">
          <cell r="J1223">
            <v>206758.34999999992</v>
          </cell>
        </row>
        <row r="1224">
          <cell r="J1224">
            <v>209758.34999999992</v>
          </cell>
        </row>
        <row r="1225">
          <cell r="J1225">
            <v>209758.34999999992</v>
          </cell>
        </row>
        <row r="1226">
          <cell r="J1226">
            <v>205358.34999999992</v>
          </cell>
        </row>
        <row r="1227">
          <cell r="J1227">
            <v>202058.34999999992</v>
          </cell>
        </row>
        <row r="1228">
          <cell r="J1228">
            <v>205058.34999999992</v>
          </cell>
        </row>
        <row r="1229">
          <cell r="J1229">
            <v>208058.34999999992</v>
          </cell>
        </row>
        <row r="1230">
          <cell r="J1230">
            <v>206958.34999999992</v>
          </cell>
        </row>
        <row r="1231">
          <cell r="J1231">
            <v>209958.34999999992</v>
          </cell>
        </row>
        <row r="1232">
          <cell r="J1232">
            <v>212958.34999999992</v>
          </cell>
        </row>
        <row r="1233">
          <cell r="J1233">
            <v>209658.34999999992</v>
          </cell>
        </row>
        <row r="1234">
          <cell r="J1234">
            <v>212658.34999999992</v>
          </cell>
        </row>
        <row r="1235">
          <cell r="J1235">
            <v>215658.34999999992</v>
          </cell>
        </row>
        <row r="1236">
          <cell r="J1236">
            <v>212658.34999999992</v>
          </cell>
        </row>
        <row r="1237">
          <cell r="J1237">
            <v>216658.34999999992</v>
          </cell>
        </row>
        <row r="1238">
          <cell r="J1238">
            <v>215558.34999999992</v>
          </cell>
        </row>
        <row r="1239">
          <cell r="J1239">
            <v>212258.34999999992</v>
          </cell>
        </row>
        <row r="1240">
          <cell r="J1240">
            <v>215258.34999999992</v>
          </cell>
        </row>
        <row r="1241">
          <cell r="J1241">
            <v>213058.34999999992</v>
          </cell>
        </row>
        <row r="1242">
          <cell r="J1242">
            <v>208658.34999999992</v>
          </cell>
        </row>
        <row r="1243">
          <cell r="J1243">
            <v>211658.34999999992</v>
          </cell>
        </row>
        <row r="1244">
          <cell r="J1244">
            <v>210558.34999999992</v>
          </cell>
        </row>
        <row r="1245">
          <cell r="J1245">
            <v>207558.34999999992</v>
          </cell>
        </row>
        <row r="1246">
          <cell r="J1246">
            <v>205358.34999999992</v>
          </cell>
        </row>
        <row r="1247">
          <cell r="J1247">
            <v>202058.34999999992</v>
          </cell>
        </row>
        <row r="1248">
          <cell r="J1248">
            <v>198758.34999999992</v>
          </cell>
        </row>
        <row r="1249">
          <cell r="J1249">
            <v>197108.34999999992</v>
          </cell>
        </row>
        <row r="1250">
          <cell r="J1250">
            <v>193608.34999999992</v>
          </cell>
        </row>
        <row r="1251">
          <cell r="J1251">
            <v>188108.34999999992</v>
          </cell>
        </row>
        <row r="1252">
          <cell r="J1252">
            <v>185358.34999999992</v>
          </cell>
        </row>
        <row r="1253">
          <cell r="J1253">
            <v>187358.34999999992</v>
          </cell>
        </row>
        <row r="1254">
          <cell r="J1254">
            <v>183058.34999999992</v>
          </cell>
        </row>
        <row r="1255">
          <cell r="J1255">
            <v>177558.34999999992</v>
          </cell>
        </row>
        <row r="1256">
          <cell r="J1256">
            <v>180558.34999999992</v>
          </cell>
        </row>
        <row r="1257">
          <cell r="J1257">
            <v>182058.34999999992</v>
          </cell>
        </row>
        <row r="1258">
          <cell r="J1258">
            <v>185101.82999999993</v>
          </cell>
        </row>
        <row r="1259">
          <cell r="J1259">
            <v>182101.82999999993</v>
          </cell>
        </row>
        <row r="1260">
          <cell r="J1260">
            <v>187101.82999999993</v>
          </cell>
        </row>
        <row r="1261">
          <cell r="J1261">
            <v>190101.82999999993</v>
          </cell>
        </row>
        <row r="1262">
          <cell r="J1262">
            <v>185701.82999999993</v>
          </cell>
        </row>
        <row r="1263">
          <cell r="J1263">
            <v>183501.82999999993</v>
          </cell>
        </row>
        <row r="1264">
          <cell r="J1264">
            <v>183501.82999999993</v>
          </cell>
        </row>
        <row r="1265">
          <cell r="J1265">
            <v>181001.82999999993</v>
          </cell>
        </row>
        <row r="1266">
          <cell r="J1266">
            <v>184001.82999999993</v>
          </cell>
        </row>
        <row r="1267">
          <cell r="J1267">
            <v>186918.49999999994</v>
          </cell>
        </row>
        <row r="1268">
          <cell r="J1268">
            <v>183618.49999999994</v>
          </cell>
        </row>
        <row r="1269">
          <cell r="J1269">
            <v>186800.31999999995</v>
          </cell>
        </row>
        <row r="1270">
          <cell r="J1270">
            <v>185700.31999999995</v>
          </cell>
        </row>
        <row r="1271">
          <cell r="J1271">
            <v>188700.31999999995</v>
          </cell>
        </row>
        <row r="1272">
          <cell r="J1272">
            <v>184300.31999999995</v>
          </cell>
        </row>
        <row r="1273">
          <cell r="J1273">
            <v>189082.92999999993</v>
          </cell>
        </row>
        <row r="1274">
          <cell r="J1274">
            <v>192082.92999999993</v>
          </cell>
        </row>
        <row r="1275">
          <cell r="J1275">
            <v>195082.92999999993</v>
          </cell>
        </row>
        <row r="1276">
          <cell r="J1276">
            <v>198995.96999999994</v>
          </cell>
        </row>
        <row r="1277">
          <cell r="J1277">
            <v>201995.96999999994</v>
          </cell>
        </row>
        <row r="1278">
          <cell r="J1278">
            <v>204995.96999999994</v>
          </cell>
        </row>
        <row r="1279">
          <cell r="J1279">
            <v>209995.96999999994</v>
          </cell>
        </row>
        <row r="1280">
          <cell r="J1280">
            <v>208995.96999999994</v>
          </cell>
        </row>
        <row r="1281">
          <cell r="J1281">
            <v>211268.69999999995</v>
          </cell>
        </row>
        <row r="1282">
          <cell r="J1282">
            <v>208268.69999999995</v>
          </cell>
        </row>
        <row r="1283">
          <cell r="J1283">
            <v>204968.69999999995</v>
          </cell>
        </row>
        <row r="1284">
          <cell r="J1284">
            <v>208968.69999999995</v>
          </cell>
        </row>
        <row r="1285">
          <cell r="J1285">
            <v>211968.69999999995</v>
          </cell>
        </row>
        <row r="1286">
          <cell r="J1286">
            <v>213273.04999999996</v>
          </cell>
        </row>
        <row r="1287">
          <cell r="J1287">
            <v>218273.04999999996</v>
          </cell>
        </row>
        <row r="1288">
          <cell r="J1288">
            <v>213873.04999999996</v>
          </cell>
        </row>
        <row r="1289">
          <cell r="J1289">
            <v>216873.04999999996</v>
          </cell>
        </row>
        <row r="1290">
          <cell r="J1290">
            <v>214673.04999999996</v>
          </cell>
        </row>
        <row r="1291">
          <cell r="J1291">
            <v>218673.04999999996</v>
          </cell>
        </row>
        <row r="1292">
          <cell r="J1292">
            <v>220673.04999999996</v>
          </cell>
        </row>
        <row r="1293">
          <cell r="J1293">
            <v>215173.04999999996</v>
          </cell>
        </row>
        <row r="1294">
          <cell r="J1294">
            <v>211873.04999999996</v>
          </cell>
        </row>
        <row r="1295">
          <cell r="J1295">
            <v>216873.04999999996</v>
          </cell>
        </row>
        <row r="1296">
          <cell r="J1296">
            <v>216873.04999999996</v>
          </cell>
        </row>
        <row r="1297">
          <cell r="J1297">
            <v>214873.04999999996</v>
          </cell>
        </row>
        <row r="1298">
          <cell r="J1298">
            <v>217873.04999999996</v>
          </cell>
        </row>
        <row r="1299">
          <cell r="J1299">
            <v>217873.04999999996</v>
          </cell>
        </row>
        <row r="1300">
          <cell r="J1300">
            <v>213373.04999999996</v>
          </cell>
        </row>
        <row r="1301">
          <cell r="J1301">
            <v>208973.04999999996</v>
          </cell>
        </row>
        <row r="1302">
          <cell r="J1302">
            <v>205673.04999999996</v>
          </cell>
        </row>
        <row r="1303">
          <cell r="J1303">
            <v>201273.04999999996</v>
          </cell>
        </row>
        <row r="1304">
          <cell r="J1304">
            <v>203273.04999999996</v>
          </cell>
        </row>
        <row r="1305">
          <cell r="J1305">
            <v>197773.04999999996</v>
          </cell>
        </row>
        <row r="1306">
          <cell r="J1306">
            <v>194473.04999999996</v>
          </cell>
        </row>
        <row r="1307">
          <cell r="J1307">
            <v>197549.96999999997</v>
          </cell>
        </row>
        <row r="1308">
          <cell r="J1308">
            <v>193549.96999999997</v>
          </cell>
        </row>
        <row r="1309">
          <cell r="J1309">
            <v>192449.96999999997</v>
          </cell>
        </row>
        <row r="1310">
          <cell r="J1310">
            <v>192449.96999999997</v>
          </cell>
        </row>
        <row r="1311">
          <cell r="J1311">
            <v>195449.96999999997</v>
          </cell>
        </row>
        <row r="1312">
          <cell r="J1312">
            <v>198449.96999999997</v>
          </cell>
        </row>
        <row r="1313">
          <cell r="J1313">
            <v>193949.96999999997</v>
          </cell>
        </row>
        <row r="1314">
          <cell r="J1314">
            <v>196949.96999999997</v>
          </cell>
        </row>
        <row r="1315">
          <cell r="J1315">
            <v>200949.96999999997</v>
          </cell>
        </row>
        <row r="1316">
          <cell r="J1316">
            <v>199949.96999999997</v>
          </cell>
        </row>
        <row r="1317">
          <cell r="J1317">
            <v>198849.96999999997</v>
          </cell>
        </row>
        <row r="1318">
          <cell r="J1318">
            <v>203849.96999999997</v>
          </cell>
        </row>
        <row r="1319">
          <cell r="J1319">
            <v>206849.96999999997</v>
          </cell>
        </row>
        <row r="1320">
          <cell r="J1320">
            <v>209849.96999999997</v>
          </cell>
        </row>
        <row r="1321">
          <cell r="J1321">
            <v>212849.96999999997</v>
          </cell>
        </row>
        <row r="1322">
          <cell r="J1322">
            <v>214849.96999999997</v>
          </cell>
        </row>
        <row r="1323">
          <cell r="J1323">
            <v>209349.96999999997</v>
          </cell>
        </row>
        <row r="1324">
          <cell r="J1324">
            <v>213440.87999999998</v>
          </cell>
        </row>
        <row r="1325">
          <cell r="J1325">
            <v>212440.87999999998</v>
          </cell>
        </row>
        <row r="1326">
          <cell r="J1326">
            <v>215622.69999999998</v>
          </cell>
        </row>
        <row r="1327">
          <cell r="J1327">
            <v>219622.69999999998</v>
          </cell>
        </row>
        <row r="1328">
          <cell r="J1328">
            <v>216322.69999999998</v>
          </cell>
        </row>
        <row r="1329">
          <cell r="J1329">
            <v>216322.69999999998</v>
          </cell>
        </row>
        <row r="1330">
          <cell r="J1330">
            <v>220322.69999999998</v>
          </cell>
        </row>
        <row r="1331">
          <cell r="J1331">
            <v>219322.69999999998</v>
          </cell>
        </row>
        <row r="1332">
          <cell r="J1332">
            <v>214922.69999999998</v>
          </cell>
        </row>
        <row r="1333">
          <cell r="J1333">
            <v>213922.69999999998</v>
          </cell>
        </row>
        <row r="1334">
          <cell r="J1334">
            <v>218922.69999999998</v>
          </cell>
        </row>
        <row r="1335">
          <cell r="J1335">
            <v>221922.69999999998</v>
          </cell>
        </row>
        <row r="1336">
          <cell r="J1336">
            <v>225922.69999999998</v>
          </cell>
        </row>
        <row r="1337">
          <cell r="J1337">
            <v>230013.61</v>
          </cell>
        </row>
        <row r="1338">
          <cell r="J1338">
            <v>224513.61</v>
          </cell>
        </row>
        <row r="1339">
          <cell r="J1339">
            <v>221213.61</v>
          </cell>
        </row>
        <row r="1340">
          <cell r="J1340">
            <v>216713.61</v>
          </cell>
        </row>
        <row r="1341">
          <cell r="J1341">
            <v>213213.61</v>
          </cell>
        </row>
        <row r="1342">
          <cell r="J1342">
            <v>208813.61</v>
          </cell>
        </row>
        <row r="1343">
          <cell r="J1343">
            <v>215138.61</v>
          </cell>
        </row>
        <row r="1344">
          <cell r="J1344">
            <v>218138.61</v>
          </cell>
        </row>
        <row r="1345">
          <cell r="J1345">
            <v>221616.87</v>
          </cell>
        </row>
        <row r="1346">
          <cell r="J1346">
            <v>216116.87</v>
          </cell>
        </row>
        <row r="1347">
          <cell r="J1347">
            <v>215116.87</v>
          </cell>
        </row>
        <row r="1348">
          <cell r="J1348">
            <v>219116.87</v>
          </cell>
        </row>
        <row r="1349">
          <cell r="J1349">
            <v>224116.87</v>
          </cell>
        </row>
        <row r="1350">
          <cell r="J1350">
            <v>227116.87</v>
          </cell>
        </row>
        <row r="1351">
          <cell r="J1351">
            <v>223116.87</v>
          </cell>
        </row>
        <row r="1352">
          <cell r="J1352">
            <v>222016.87</v>
          </cell>
        </row>
        <row r="1353">
          <cell r="J1353">
            <v>217616.87</v>
          </cell>
        </row>
        <row r="1354">
          <cell r="J1354">
            <v>214316.87</v>
          </cell>
        </row>
        <row r="1355">
          <cell r="J1355">
            <v>211016.87</v>
          </cell>
        </row>
        <row r="1356">
          <cell r="J1356">
            <v>216016.87</v>
          </cell>
        </row>
        <row r="1357">
          <cell r="J1357">
            <v>214516.87</v>
          </cell>
        </row>
        <row r="1358">
          <cell r="J1358">
            <v>210116.87</v>
          </cell>
        </row>
        <row r="1359">
          <cell r="J1359">
            <v>213116.87</v>
          </cell>
        </row>
        <row r="1360">
          <cell r="J1360">
            <v>217116.87</v>
          </cell>
        </row>
        <row r="1361">
          <cell r="J1361">
            <v>216116.87</v>
          </cell>
        </row>
        <row r="1362">
          <cell r="J1362">
            <v>212816.87</v>
          </cell>
        </row>
        <row r="1363">
          <cell r="J1363">
            <v>208316.87</v>
          </cell>
        </row>
        <row r="1364">
          <cell r="J1364">
            <v>213316.87</v>
          </cell>
        </row>
        <row r="1365">
          <cell r="J1365">
            <v>208916.87</v>
          </cell>
        </row>
        <row r="1366">
          <cell r="J1366">
            <v>212916.87</v>
          </cell>
        </row>
        <row r="1367">
          <cell r="J1367">
            <v>215416.87</v>
          </cell>
        </row>
        <row r="1368">
          <cell r="J1368">
            <v>212116.87</v>
          </cell>
        </row>
        <row r="1369">
          <cell r="J1369">
            <v>207716.87</v>
          </cell>
        </row>
        <row r="1370">
          <cell r="J1370">
            <v>210716.87</v>
          </cell>
        </row>
        <row r="1371">
          <cell r="J1371">
            <v>213716.87</v>
          </cell>
        </row>
        <row r="1372">
          <cell r="J1372">
            <v>209316.87</v>
          </cell>
        </row>
        <row r="1373">
          <cell r="J1373">
            <v>214316.87</v>
          </cell>
        </row>
        <row r="1374">
          <cell r="J1374">
            <v>213316.87</v>
          </cell>
        </row>
        <row r="1375">
          <cell r="J1375">
            <v>211116.87</v>
          </cell>
        </row>
        <row r="1376">
          <cell r="J1376">
            <v>214033.54</v>
          </cell>
        </row>
        <row r="1377">
          <cell r="J1377">
            <v>216033.54</v>
          </cell>
        </row>
        <row r="1378">
          <cell r="J1378">
            <v>211033.54</v>
          </cell>
        </row>
        <row r="1379">
          <cell r="J1379">
            <v>214033.54</v>
          </cell>
        </row>
        <row r="1380">
          <cell r="J1380">
            <v>218758.54</v>
          </cell>
        </row>
        <row r="1381">
          <cell r="J1381">
            <v>214358.54</v>
          </cell>
        </row>
        <row r="1382">
          <cell r="J1382">
            <v>217358.54</v>
          </cell>
        </row>
        <row r="1383">
          <cell r="J1383">
            <v>220358.54</v>
          </cell>
        </row>
        <row r="1384">
          <cell r="J1384">
            <v>224358.54</v>
          </cell>
        </row>
        <row r="1385">
          <cell r="J1385">
            <v>228358.54</v>
          </cell>
        </row>
        <row r="1386">
          <cell r="J1386">
            <v>232358.54</v>
          </cell>
        </row>
        <row r="1387">
          <cell r="J1387">
            <v>234358.54</v>
          </cell>
        </row>
        <row r="1388">
          <cell r="J1388">
            <v>233258.54</v>
          </cell>
        </row>
        <row r="1389">
          <cell r="J1389">
            <v>226758.54</v>
          </cell>
        </row>
        <row r="1390">
          <cell r="J1390">
            <v>221258.54</v>
          </cell>
        </row>
        <row r="1391">
          <cell r="J1391">
            <v>216858.54</v>
          </cell>
        </row>
        <row r="1392">
          <cell r="J1392">
            <v>214658.54</v>
          </cell>
        </row>
        <row r="1393">
          <cell r="J1393">
            <v>211358.54</v>
          </cell>
        </row>
        <row r="1394">
          <cell r="J1394">
            <v>206958.54</v>
          </cell>
        </row>
        <row r="1395">
          <cell r="J1395">
            <v>202558.54</v>
          </cell>
        </row>
        <row r="1396">
          <cell r="J1396">
            <v>199258.54</v>
          </cell>
        </row>
        <row r="1397">
          <cell r="J1397">
            <v>194858.54</v>
          </cell>
        </row>
        <row r="1398">
          <cell r="J1398">
            <v>192658.54</v>
          </cell>
        </row>
        <row r="1399">
          <cell r="J1399">
            <v>189658.54</v>
          </cell>
        </row>
        <row r="1400">
          <cell r="J1400">
            <v>186658.54</v>
          </cell>
        </row>
        <row r="1401">
          <cell r="J1401">
            <v>183358.54</v>
          </cell>
        </row>
        <row r="1402">
          <cell r="J1402">
            <v>177858.54</v>
          </cell>
        </row>
        <row r="1403">
          <cell r="J1403">
            <v>173858.54</v>
          </cell>
        </row>
        <row r="1404">
          <cell r="J1404">
            <v>171658.54</v>
          </cell>
        </row>
        <row r="1405">
          <cell r="J1405">
            <v>175658.54</v>
          </cell>
        </row>
        <row r="1406">
          <cell r="J1406">
            <v>178658.54</v>
          </cell>
        </row>
        <row r="1407">
          <cell r="J1407">
            <v>175908.54</v>
          </cell>
        </row>
        <row r="1408">
          <cell r="J1408">
            <v>179908.54</v>
          </cell>
        </row>
        <row r="1409">
          <cell r="J1409">
            <v>182908.54</v>
          </cell>
        </row>
        <row r="1410">
          <cell r="J1410">
            <v>183908.54</v>
          </cell>
        </row>
        <row r="1411">
          <cell r="J1411">
            <v>178408.54</v>
          </cell>
        </row>
        <row r="1412">
          <cell r="J1412">
            <v>173908.54</v>
          </cell>
        </row>
        <row r="1413">
          <cell r="J1413">
            <v>175158.54</v>
          </cell>
        </row>
        <row r="1414">
          <cell r="J1414">
            <v>178158.54</v>
          </cell>
        </row>
        <row r="1415">
          <cell r="J1415">
            <v>180158.54</v>
          </cell>
        </row>
        <row r="1416">
          <cell r="J1416">
            <v>184158.54</v>
          </cell>
        </row>
        <row r="1417">
          <cell r="J1417">
            <v>182658.54</v>
          </cell>
        </row>
        <row r="1418">
          <cell r="J1418">
            <v>178258.54</v>
          </cell>
        </row>
        <row r="1419">
          <cell r="J1419">
            <v>180758.54</v>
          </cell>
        </row>
        <row r="1420">
          <cell r="J1420">
            <v>183758.54</v>
          </cell>
        </row>
        <row r="1421">
          <cell r="J1421">
            <v>178258.54</v>
          </cell>
        </row>
        <row r="1422">
          <cell r="J1422">
            <v>176258.54</v>
          </cell>
        </row>
        <row r="1423">
          <cell r="J1423">
            <v>180983.54</v>
          </cell>
        </row>
        <row r="1424">
          <cell r="J1424">
            <v>176483.54</v>
          </cell>
        </row>
        <row r="1425">
          <cell r="J1425">
            <v>174283.54</v>
          </cell>
        </row>
        <row r="1426">
          <cell r="J1426">
            <v>170983.54</v>
          </cell>
        </row>
        <row r="1427">
          <cell r="J1427">
            <v>173983.54</v>
          </cell>
        </row>
        <row r="1428">
          <cell r="J1428">
            <v>178983.54</v>
          </cell>
        </row>
        <row r="1429">
          <cell r="J1429">
            <v>174583.54</v>
          </cell>
        </row>
        <row r="1430">
          <cell r="J1430">
            <v>172383.54</v>
          </cell>
        </row>
        <row r="1431">
          <cell r="J1431">
            <v>175383.54</v>
          </cell>
        </row>
        <row r="1432">
          <cell r="J1432">
            <v>178983.54</v>
          </cell>
        </row>
        <row r="1433">
          <cell r="J1433">
            <v>182027.02000000002</v>
          </cell>
        </row>
        <row r="1434">
          <cell r="J1434">
            <v>185027.02000000002</v>
          </cell>
        </row>
        <row r="1435">
          <cell r="J1435">
            <v>190027.02000000002</v>
          </cell>
        </row>
        <row r="1436">
          <cell r="J1436">
            <v>193027.02000000002</v>
          </cell>
        </row>
        <row r="1437">
          <cell r="J1437">
            <v>190827.02000000002</v>
          </cell>
        </row>
        <row r="1438">
          <cell r="J1438">
            <v>189727.02000000002</v>
          </cell>
        </row>
        <row r="1439">
          <cell r="J1439">
            <v>192627.02000000002</v>
          </cell>
        </row>
        <row r="1440">
          <cell r="J1440">
            <v>196627.02000000002</v>
          </cell>
        </row>
        <row r="1441">
          <cell r="J1441">
            <v>198627.02000000002</v>
          </cell>
        </row>
        <row r="1442">
          <cell r="J1442">
            <v>199627.02000000002</v>
          </cell>
        </row>
        <row r="1443">
          <cell r="J1443">
            <v>196327.02000000002</v>
          </cell>
        </row>
        <row r="1444">
          <cell r="J1444">
            <v>199327.02000000002</v>
          </cell>
        </row>
        <row r="1445">
          <cell r="J1445">
            <v>205762.02000000002</v>
          </cell>
        </row>
        <row r="1446">
          <cell r="J1446">
            <v>202462.02000000002</v>
          </cell>
        </row>
        <row r="1447">
          <cell r="J1447">
            <v>205462.02000000002</v>
          </cell>
        </row>
        <row r="1448">
          <cell r="J1448">
            <v>210462.02000000002</v>
          </cell>
        </row>
        <row r="1449">
          <cell r="J1449">
            <v>211462.02000000002</v>
          </cell>
        </row>
        <row r="1450">
          <cell r="J1450">
            <v>216462.02000000002</v>
          </cell>
        </row>
        <row r="1451">
          <cell r="J1451">
            <v>219462.02000000002</v>
          </cell>
        </row>
        <row r="1452">
          <cell r="J1452">
            <v>222940.28000000003</v>
          </cell>
        </row>
        <row r="1453">
          <cell r="J1453">
            <v>220740.28000000003</v>
          </cell>
        </row>
        <row r="1454">
          <cell r="J1454">
            <v>222740.28000000003</v>
          </cell>
        </row>
        <row r="1455">
          <cell r="J1455">
            <v>217240.28000000003</v>
          </cell>
        </row>
        <row r="1456">
          <cell r="J1456">
            <v>213940.28000000003</v>
          </cell>
        </row>
        <row r="1457">
          <cell r="J1457">
            <v>209540.28000000003</v>
          </cell>
        </row>
        <row r="1458">
          <cell r="J1458">
            <v>214123.61000000002</v>
          </cell>
        </row>
        <row r="1459">
          <cell r="J1459">
            <v>214123.61000000002</v>
          </cell>
        </row>
        <row r="1460">
          <cell r="J1460">
            <v>217123.61000000002</v>
          </cell>
        </row>
        <row r="1461">
          <cell r="J1461">
            <v>219123.61000000002</v>
          </cell>
        </row>
        <row r="1462">
          <cell r="J1462">
            <v>215823.61000000002</v>
          </cell>
        </row>
        <row r="1463">
          <cell r="J1463">
            <v>217823.61000000002</v>
          </cell>
        </row>
        <row r="1464">
          <cell r="J1464">
            <v>221823.61000000002</v>
          </cell>
        </row>
        <row r="1465">
          <cell r="J1465">
            <v>220823.61000000002</v>
          </cell>
        </row>
        <row r="1466">
          <cell r="J1466">
            <v>225823.61000000002</v>
          </cell>
        </row>
        <row r="1467">
          <cell r="J1467">
            <v>222523.61000000002</v>
          </cell>
        </row>
        <row r="1468">
          <cell r="J1468">
            <v>219223.61000000002</v>
          </cell>
        </row>
        <row r="1469">
          <cell r="J1469">
            <v>214823.61000000002</v>
          </cell>
        </row>
        <row r="1470">
          <cell r="J1470">
            <v>217823.61000000002</v>
          </cell>
        </row>
        <row r="1471">
          <cell r="J1471">
            <v>213423.61000000002</v>
          </cell>
        </row>
        <row r="1472">
          <cell r="J1472">
            <v>217336.65000000002</v>
          </cell>
        </row>
        <row r="1473">
          <cell r="J1473">
            <v>218336.65000000002</v>
          </cell>
        </row>
        <row r="1474">
          <cell r="J1474">
            <v>222336.65000000002</v>
          </cell>
        </row>
        <row r="1475">
          <cell r="J1475">
            <v>225336.65000000002</v>
          </cell>
        </row>
        <row r="1476">
          <cell r="J1476">
            <v>228336.65000000002</v>
          </cell>
        </row>
        <row r="1477">
          <cell r="J1477">
            <v>222836.65000000002</v>
          </cell>
        </row>
        <row r="1478">
          <cell r="J1478">
            <v>224836.65000000002</v>
          </cell>
        </row>
        <row r="1479">
          <cell r="J1479">
            <v>221836.65000000002</v>
          </cell>
        </row>
        <row r="1480">
          <cell r="J1480">
            <v>217436.65000000002</v>
          </cell>
        </row>
        <row r="1481">
          <cell r="J1481">
            <v>211936.65000000002</v>
          </cell>
        </row>
        <row r="1482">
          <cell r="J1482">
            <v>210936.65000000002</v>
          </cell>
        </row>
        <row r="1483">
          <cell r="J1483">
            <v>214936.65000000002</v>
          </cell>
        </row>
        <row r="1484">
          <cell r="J1484">
            <v>212186.65000000002</v>
          </cell>
        </row>
        <row r="1485">
          <cell r="J1485">
            <v>208886.65000000002</v>
          </cell>
        </row>
        <row r="1486">
          <cell r="J1486">
            <v>205886.65000000002</v>
          </cell>
        </row>
        <row r="1487">
          <cell r="J1487">
            <v>210886.65000000002</v>
          </cell>
        </row>
        <row r="1488">
          <cell r="J1488">
            <v>211886.65000000002</v>
          </cell>
        </row>
        <row r="1489">
          <cell r="J1489">
            <v>210786.65000000002</v>
          </cell>
        </row>
        <row r="1490">
          <cell r="J1490">
            <v>215569.26</v>
          </cell>
        </row>
        <row r="1491">
          <cell r="J1491">
            <v>218569.26</v>
          </cell>
        </row>
        <row r="1492">
          <cell r="J1492">
            <v>213069.26</v>
          </cell>
        </row>
        <row r="1493">
          <cell r="J1493">
            <v>214069.26</v>
          </cell>
        </row>
        <row r="1494">
          <cell r="J1494">
            <v>208569.26</v>
          </cell>
        </row>
        <row r="1495">
          <cell r="J1495">
            <v>204169.26</v>
          </cell>
        </row>
        <row r="1496">
          <cell r="J1496">
            <v>199669.26</v>
          </cell>
        </row>
        <row r="1497">
          <cell r="J1497">
            <v>198669.26</v>
          </cell>
        </row>
        <row r="1498">
          <cell r="J1498">
            <v>203669.26</v>
          </cell>
        </row>
        <row r="1499">
          <cell r="J1499">
            <v>206669.26</v>
          </cell>
        </row>
        <row r="1500">
          <cell r="J1500">
            <v>211669.26</v>
          </cell>
        </row>
        <row r="1501">
          <cell r="J1501">
            <v>208169.26</v>
          </cell>
        </row>
        <row r="1502">
          <cell r="J1502">
            <v>213169.26</v>
          </cell>
        </row>
        <row r="1503">
          <cell r="J1503">
            <v>214169.26</v>
          </cell>
        </row>
        <row r="1504">
          <cell r="J1504">
            <v>215169.26</v>
          </cell>
        </row>
        <row r="1505">
          <cell r="J1505">
            <v>210769.26</v>
          </cell>
        </row>
        <row r="1506">
          <cell r="J1506">
            <v>212769.26</v>
          </cell>
        </row>
        <row r="1507">
          <cell r="J1507">
            <v>212769.26</v>
          </cell>
        </row>
        <row r="1508">
          <cell r="J1508">
            <v>215769.26</v>
          </cell>
        </row>
        <row r="1509">
          <cell r="J1509">
            <v>213569.26</v>
          </cell>
        </row>
        <row r="1510">
          <cell r="J1510">
            <v>208069.26</v>
          </cell>
        </row>
        <row r="1511">
          <cell r="J1511">
            <v>212069.26</v>
          </cell>
        </row>
        <row r="1512">
          <cell r="J1512">
            <v>214069.26</v>
          </cell>
        </row>
        <row r="1513">
          <cell r="J1513">
            <v>219409.07</v>
          </cell>
        </row>
        <row r="1514">
          <cell r="J1514">
            <v>218309.07</v>
          </cell>
        </row>
        <row r="1515">
          <cell r="J1515">
            <v>216109.07</v>
          </cell>
        </row>
        <row r="1516">
          <cell r="J1516">
            <v>211709.07</v>
          </cell>
        </row>
        <row r="1517">
          <cell r="J1517">
            <v>210609.07</v>
          </cell>
        </row>
        <row r="1518">
          <cell r="J1518">
            <v>213942.39999999999</v>
          </cell>
        </row>
        <row r="1519">
          <cell r="J1519">
            <v>210642.4</v>
          </cell>
        </row>
        <row r="1520">
          <cell r="J1520">
            <v>213642.4</v>
          </cell>
        </row>
        <row r="1521">
          <cell r="J1521">
            <v>216642.4</v>
          </cell>
        </row>
        <row r="1522">
          <cell r="J1522">
            <v>221642.4</v>
          </cell>
        </row>
        <row r="1523">
          <cell r="J1523">
            <v>223642.4</v>
          </cell>
        </row>
        <row r="1524">
          <cell r="J1524">
            <v>219242.4</v>
          </cell>
        </row>
        <row r="1525">
          <cell r="J1525">
            <v>214842.4</v>
          </cell>
        </row>
        <row r="1526">
          <cell r="J1526">
            <v>209342.4</v>
          </cell>
        </row>
        <row r="1527">
          <cell r="J1527">
            <v>204942.4</v>
          </cell>
        </row>
        <row r="1528">
          <cell r="J1528">
            <v>201642.4</v>
          </cell>
        </row>
        <row r="1529">
          <cell r="J1529">
            <v>197242.4</v>
          </cell>
        </row>
        <row r="1530">
          <cell r="J1530">
            <v>195042.4</v>
          </cell>
        </row>
        <row r="1531">
          <cell r="J1531">
            <v>199392.4</v>
          </cell>
        </row>
        <row r="1532">
          <cell r="J1532">
            <v>201892.4</v>
          </cell>
        </row>
        <row r="1533">
          <cell r="J1533">
            <v>206892.4</v>
          </cell>
        </row>
        <row r="1534">
          <cell r="J1534">
            <v>210892.4</v>
          </cell>
        </row>
        <row r="1535">
          <cell r="J1535">
            <v>212492.4</v>
          </cell>
        </row>
        <row r="1536">
          <cell r="J1536">
            <v>214992.4</v>
          </cell>
        </row>
        <row r="1537">
          <cell r="J1537">
            <v>218992.4</v>
          </cell>
        </row>
        <row r="1538">
          <cell r="J1538">
            <v>213492.4</v>
          </cell>
        </row>
        <row r="1539">
          <cell r="J1539">
            <v>212392.4</v>
          </cell>
        </row>
        <row r="1540">
          <cell r="J1540">
            <v>209092.4</v>
          </cell>
        </row>
        <row r="1541">
          <cell r="J1541">
            <v>203592.4</v>
          </cell>
        </row>
        <row r="1542">
          <cell r="J1542">
            <v>203112.4</v>
          </cell>
        </row>
        <row r="1543">
          <cell r="J1543">
            <v>199112.4</v>
          </cell>
        </row>
        <row r="1544">
          <cell r="J1544">
            <v>196112.4</v>
          </cell>
        </row>
        <row r="1545">
          <cell r="J1545">
            <v>199112.4</v>
          </cell>
        </row>
        <row r="1546">
          <cell r="J1546">
            <v>195812.4</v>
          </cell>
        </row>
        <row r="1547">
          <cell r="J1547">
            <v>199812.4</v>
          </cell>
        </row>
        <row r="1548">
          <cell r="J1548">
            <v>200812.4</v>
          </cell>
        </row>
        <row r="1549">
          <cell r="J1549">
            <v>204812.4</v>
          </cell>
        </row>
        <row r="1550">
          <cell r="J1550">
            <v>209812.4</v>
          </cell>
        </row>
        <row r="1551">
          <cell r="J1551">
            <v>208712.4</v>
          </cell>
        </row>
        <row r="1552">
          <cell r="J1552">
            <v>205412.4</v>
          </cell>
        </row>
        <row r="1553">
          <cell r="J1553">
            <v>202112.4</v>
          </cell>
        </row>
        <row r="1554">
          <cell r="J1554">
            <v>202112.4</v>
          </cell>
        </row>
        <row r="1555">
          <cell r="J1555">
            <v>197712.4</v>
          </cell>
        </row>
        <row r="1556">
          <cell r="J1556">
            <v>195512.4</v>
          </cell>
        </row>
        <row r="1557">
          <cell r="J1557">
            <v>191012.4</v>
          </cell>
        </row>
        <row r="1558">
          <cell r="J1558">
            <v>187712.4</v>
          </cell>
        </row>
        <row r="1559">
          <cell r="J1559">
            <v>188712.4</v>
          </cell>
        </row>
        <row r="1560">
          <cell r="J1560">
            <v>185412.4</v>
          </cell>
        </row>
        <row r="1561">
          <cell r="J1561">
            <v>188412.4</v>
          </cell>
        </row>
        <row r="1562">
          <cell r="J1562">
            <v>186212.4</v>
          </cell>
        </row>
        <row r="1563">
          <cell r="J1563">
            <v>180712.4</v>
          </cell>
        </row>
        <row r="1564">
          <cell r="J1564">
            <v>177412.4</v>
          </cell>
        </row>
        <row r="1565">
          <cell r="J1565">
            <v>182412.4</v>
          </cell>
        </row>
        <row r="1566">
          <cell r="J1566">
            <v>185412.4</v>
          </cell>
        </row>
        <row r="1567">
          <cell r="J1567">
            <v>181012.4</v>
          </cell>
        </row>
        <row r="1568">
          <cell r="J1568">
            <v>185012.4</v>
          </cell>
        </row>
        <row r="1569">
          <cell r="J1569">
            <v>189012.4</v>
          </cell>
        </row>
        <row r="1570">
          <cell r="J1570">
            <v>186812.4</v>
          </cell>
        </row>
        <row r="1571">
          <cell r="J1571">
            <v>189812.4</v>
          </cell>
        </row>
        <row r="1572">
          <cell r="J1572">
            <v>194812.4</v>
          </cell>
        </row>
        <row r="1573">
          <cell r="J1573">
            <v>196812.4</v>
          </cell>
        </row>
        <row r="1574">
          <cell r="J1574">
            <v>200812.4</v>
          </cell>
        </row>
        <row r="1575">
          <cell r="J1575">
            <v>201812.4</v>
          </cell>
        </row>
        <row r="1576">
          <cell r="J1576">
            <v>198512.4</v>
          </cell>
        </row>
        <row r="1577">
          <cell r="J1577">
            <v>202512.4</v>
          </cell>
        </row>
        <row r="1578">
          <cell r="J1578">
            <v>207512.4</v>
          </cell>
        </row>
        <row r="1579">
          <cell r="J1579">
            <v>211512.4</v>
          </cell>
        </row>
        <row r="1580">
          <cell r="J1580">
            <v>215798.11</v>
          </cell>
        </row>
        <row r="1581">
          <cell r="J1581">
            <v>215798.11</v>
          </cell>
        </row>
        <row r="1582">
          <cell r="J1582">
            <v>216707.19999999998</v>
          </cell>
        </row>
        <row r="1583">
          <cell r="J1583">
            <v>213407.19999999998</v>
          </cell>
        </row>
        <row r="1584">
          <cell r="J1584">
            <v>218407.19999999998</v>
          </cell>
        </row>
        <row r="1585">
          <cell r="J1585">
            <v>222407.19999999998</v>
          </cell>
        </row>
        <row r="1586">
          <cell r="J1586">
            <v>225407.19999999998</v>
          </cell>
        </row>
        <row r="1587">
          <cell r="J1587">
            <v>229407.19999999998</v>
          </cell>
        </row>
        <row r="1588">
          <cell r="J1588">
            <v>227207.19999999998</v>
          </cell>
        </row>
        <row r="1589">
          <cell r="J1589">
            <v>232207.19999999998</v>
          </cell>
        </row>
        <row r="1590">
          <cell r="J1590">
            <v>235207.19999999998</v>
          </cell>
        </row>
        <row r="1591">
          <cell r="J1591">
            <v>231907.19999999998</v>
          </cell>
        </row>
        <row r="1592">
          <cell r="J1592">
            <v>228607.19999999998</v>
          </cell>
        </row>
        <row r="1593">
          <cell r="J1593">
            <v>224207.19999999998</v>
          </cell>
        </row>
        <row r="1594">
          <cell r="J1594">
            <v>218707.19999999998</v>
          </cell>
        </row>
        <row r="1595">
          <cell r="J1595">
            <v>223907.19999999998</v>
          </cell>
        </row>
        <row r="1596">
          <cell r="J1596">
            <v>227907.19999999998</v>
          </cell>
        </row>
        <row r="1597">
          <cell r="J1597">
            <v>228907.19999999998</v>
          </cell>
        </row>
        <row r="1598">
          <cell r="J1598">
            <v>231907.19999999998</v>
          </cell>
        </row>
        <row r="1599">
          <cell r="J1599">
            <v>234907.19999999998</v>
          </cell>
        </row>
        <row r="1600">
          <cell r="J1600">
            <v>237907.19999999998</v>
          </cell>
        </row>
        <row r="1601">
          <cell r="J1601">
            <v>240032.19999999998</v>
          </cell>
        </row>
        <row r="1602">
          <cell r="J1602">
            <v>236732.19999999998</v>
          </cell>
        </row>
        <row r="1603">
          <cell r="J1603">
            <v>231232.19999999998</v>
          </cell>
        </row>
        <row r="1604">
          <cell r="J1604">
            <v>228232.19999999998</v>
          </cell>
        </row>
        <row r="1605">
          <cell r="J1605">
            <v>231232.19999999998</v>
          </cell>
        </row>
        <row r="1606">
          <cell r="J1606">
            <v>236232.19999999998</v>
          </cell>
        </row>
        <row r="1607">
          <cell r="J1607">
            <v>240232.19999999998</v>
          </cell>
        </row>
        <row r="1608">
          <cell r="J1608">
            <v>236232.19999999998</v>
          </cell>
        </row>
        <row r="1609">
          <cell r="J1609">
            <v>240232.19999999998</v>
          </cell>
        </row>
        <row r="1610">
          <cell r="J1610">
            <v>235832.19999999998</v>
          </cell>
        </row>
        <row r="1611">
          <cell r="J1611">
            <v>238832.19999999998</v>
          </cell>
        </row>
        <row r="1612">
          <cell r="J1612">
            <v>234332.19999999998</v>
          </cell>
        </row>
        <row r="1613">
          <cell r="J1613">
            <v>233232.19999999998</v>
          </cell>
        </row>
        <row r="1614">
          <cell r="J1614">
            <v>237232.19999999998</v>
          </cell>
        </row>
        <row r="1615">
          <cell r="J1615">
            <v>240232.19999999998</v>
          </cell>
        </row>
        <row r="1616">
          <cell r="J1616">
            <v>245232.19999999998</v>
          </cell>
        </row>
        <row r="1617">
          <cell r="J1617">
            <v>249282.19999999998</v>
          </cell>
        </row>
        <row r="1618">
          <cell r="J1618">
            <v>243782.19999999998</v>
          </cell>
        </row>
        <row r="1619">
          <cell r="J1619">
            <v>247082.19999999998</v>
          </cell>
        </row>
        <row r="1620">
          <cell r="J1620">
            <v>243782.19999999998</v>
          </cell>
        </row>
        <row r="1621">
          <cell r="J1621">
            <v>247782.19999999998</v>
          </cell>
        </row>
        <row r="1622">
          <cell r="J1622">
            <v>243382.19999999998</v>
          </cell>
        </row>
        <row r="1623">
          <cell r="J1623">
            <v>240082.19999999998</v>
          </cell>
        </row>
        <row r="1624">
          <cell r="J1624">
            <v>240082.19999999998</v>
          </cell>
        </row>
        <row r="1625">
          <cell r="J1625">
            <v>243082.19999999998</v>
          </cell>
        </row>
        <row r="1626">
          <cell r="J1626">
            <v>240882.19999999998</v>
          </cell>
        </row>
        <row r="1627">
          <cell r="J1627">
            <v>241882.19999999998</v>
          </cell>
        </row>
        <row r="1628">
          <cell r="J1628">
            <v>244882.19999999998</v>
          </cell>
        </row>
        <row r="1629">
          <cell r="J1629">
            <v>247882.19999999998</v>
          </cell>
        </row>
        <row r="1630">
          <cell r="J1630">
            <v>247382.19999999998</v>
          </cell>
        </row>
        <row r="1631">
          <cell r="J1631">
            <v>249382.19999999998</v>
          </cell>
        </row>
        <row r="1632">
          <cell r="J1632">
            <v>243882.19999999998</v>
          </cell>
        </row>
        <row r="1633">
          <cell r="J1633">
            <v>239482.19999999998</v>
          </cell>
        </row>
        <row r="1634">
          <cell r="J1634">
            <v>236182.19999999998</v>
          </cell>
        </row>
        <row r="1635">
          <cell r="J1635">
            <v>233982.19999999998</v>
          </cell>
        </row>
        <row r="1636">
          <cell r="J1636">
            <v>229582.19999999998</v>
          </cell>
        </row>
        <row r="1637">
          <cell r="J1637">
            <v>224082.19999999998</v>
          </cell>
        </row>
        <row r="1638">
          <cell r="J1638">
            <v>228082.19999999998</v>
          </cell>
        </row>
        <row r="1639">
          <cell r="J1639">
            <v>225082.19999999998</v>
          </cell>
        </row>
        <row r="1640">
          <cell r="J1640">
            <v>220682.19999999998</v>
          </cell>
        </row>
        <row r="1641">
          <cell r="J1641">
            <v>224682.19999999998</v>
          </cell>
        </row>
        <row r="1642">
          <cell r="J1642">
            <v>226682.19999999998</v>
          </cell>
        </row>
        <row r="1643">
          <cell r="J1643">
            <v>230682.19999999998</v>
          </cell>
        </row>
        <row r="1644">
          <cell r="J1644">
            <v>234015.52999999997</v>
          </cell>
        </row>
        <row r="1645">
          <cell r="J1645">
            <v>230715.52999999997</v>
          </cell>
        </row>
        <row r="1646">
          <cell r="J1646">
            <v>228515.52999999997</v>
          </cell>
        </row>
        <row r="1647">
          <cell r="J1647">
            <v>223015.52999999997</v>
          </cell>
        </row>
        <row r="1648">
          <cell r="J1648">
            <v>224015.52999999997</v>
          </cell>
        </row>
        <row r="1649">
          <cell r="J1649">
            <v>218515.52999999997</v>
          </cell>
        </row>
        <row r="1650">
          <cell r="J1650">
            <v>214115.52999999997</v>
          </cell>
        </row>
        <row r="1651">
          <cell r="J1651">
            <v>210815.52999999997</v>
          </cell>
        </row>
        <row r="1652">
          <cell r="J1652">
            <v>206415.52999999997</v>
          </cell>
        </row>
        <row r="1653">
          <cell r="J1653">
            <v>203115.52999999997</v>
          </cell>
        </row>
        <row r="1654">
          <cell r="J1654">
            <v>206356.26999999996</v>
          </cell>
        </row>
        <row r="1655">
          <cell r="J1655">
            <v>207356.26999999996</v>
          </cell>
        </row>
        <row r="1656">
          <cell r="J1656">
            <v>211356.26999999996</v>
          </cell>
        </row>
        <row r="1657">
          <cell r="J1657">
            <v>206956.26999999996</v>
          </cell>
        </row>
        <row r="1658">
          <cell r="J1658">
            <v>204756.26999999996</v>
          </cell>
        </row>
        <row r="1659">
          <cell r="J1659">
            <v>200356.26999999996</v>
          </cell>
        </row>
        <row r="1660">
          <cell r="J1660">
            <v>194856.26999999996</v>
          </cell>
        </row>
        <row r="1661">
          <cell r="J1661">
            <v>199856.26999999996</v>
          </cell>
        </row>
        <row r="1662">
          <cell r="J1662">
            <v>203189.59999999995</v>
          </cell>
        </row>
        <row r="1663">
          <cell r="J1663">
            <v>206189.59999999995</v>
          </cell>
        </row>
        <row r="1664">
          <cell r="J1664">
            <v>210189.59999999995</v>
          </cell>
        </row>
        <row r="1665">
          <cell r="J1665">
            <v>207989.59999999995</v>
          </cell>
        </row>
        <row r="1666">
          <cell r="J1666">
            <v>204689.59999999995</v>
          </cell>
        </row>
        <row r="1667">
          <cell r="J1667">
            <v>200289.59999999995</v>
          </cell>
        </row>
        <row r="1668">
          <cell r="J1668">
            <v>194789.59999999995</v>
          </cell>
        </row>
        <row r="1669">
          <cell r="J1669">
            <v>193689.59999999995</v>
          </cell>
        </row>
        <row r="1670">
          <cell r="J1670">
            <v>188189.59999999995</v>
          </cell>
        </row>
        <row r="1671">
          <cell r="J1671">
            <v>191332.45999999993</v>
          </cell>
        </row>
        <row r="1672">
          <cell r="J1672">
            <v>198532.45999999993</v>
          </cell>
        </row>
        <row r="1673">
          <cell r="J1673">
            <v>201532.45999999993</v>
          </cell>
        </row>
        <row r="1674">
          <cell r="J1674">
            <v>202532.45999999993</v>
          </cell>
        </row>
        <row r="1675">
          <cell r="J1675">
            <v>203532.45999999993</v>
          </cell>
        </row>
        <row r="1676">
          <cell r="J1676">
            <v>199132.45999999993</v>
          </cell>
        </row>
        <row r="1677">
          <cell r="J1677">
            <v>202132.45999999993</v>
          </cell>
        </row>
        <row r="1678">
          <cell r="J1678">
            <v>198832.45999999993</v>
          </cell>
        </row>
        <row r="1679">
          <cell r="J1679">
            <v>202832.45999999993</v>
          </cell>
        </row>
        <row r="1680">
          <cell r="J1680">
            <v>197332.45999999993</v>
          </cell>
        </row>
        <row r="1681">
          <cell r="J1681">
            <v>195132.45999999993</v>
          </cell>
        </row>
        <row r="1682">
          <cell r="J1682">
            <v>199132.45999999993</v>
          </cell>
        </row>
        <row r="1683">
          <cell r="J1683">
            <v>193632.45999999993</v>
          </cell>
        </row>
        <row r="1684">
          <cell r="J1684">
            <v>190332.45999999993</v>
          </cell>
        </row>
        <row r="1685">
          <cell r="J1685">
            <v>188132.45999999993</v>
          </cell>
        </row>
        <row r="1686">
          <cell r="J1686">
            <v>186132.45999999993</v>
          </cell>
        </row>
        <row r="1687">
          <cell r="J1687">
            <v>189132.45999999993</v>
          </cell>
        </row>
        <row r="1688">
          <cell r="J1688">
            <v>185832.45999999993</v>
          </cell>
        </row>
        <row r="1689">
          <cell r="J1689">
            <v>184732.45999999993</v>
          </cell>
        </row>
        <row r="1690">
          <cell r="J1690">
            <v>186732.45999999993</v>
          </cell>
        </row>
        <row r="1691">
          <cell r="J1691">
            <v>188732.45999999993</v>
          </cell>
        </row>
        <row r="1692">
          <cell r="J1692">
            <v>193732.45999999993</v>
          </cell>
        </row>
        <row r="1693">
          <cell r="J1693">
            <v>196732.45999999993</v>
          </cell>
        </row>
        <row r="1694">
          <cell r="J1694">
            <v>200732.45999999993</v>
          </cell>
        </row>
        <row r="1695">
          <cell r="J1695">
            <v>203809.37999999995</v>
          </cell>
        </row>
        <row r="1696">
          <cell r="J1696">
            <v>207142.70999999993</v>
          </cell>
        </row>
        <row r="1697">
          <cell r="J1697">
            <v>201642.70999999993</v>
          </cell>
        </row>
        <row r="1698">
          <cell r="J1698">
            <v>197242.70999999993</v>
          </cell>
        </row>
        <row r="1699">
          <cell r="J1699">
            <v>198242.70999999993</v>
          </cell>
        </row>
        <row r="1700">
          <cell r="J1700">
            <v>201542.70999999993</v>
          </cell>
        </row>
        <row r="1701">
          <cell r="J1701">
            <v>203730.20999999993</v>
          </cell>
        </row>
        <row r="1702">
          <cell r="J1702">
            <v>208275.65999999995</v>
          </cell>
        </row>
        <row r="1703">
          <cell r="J1703">
            <v>207175.65999999995</v>
          </cell>
        </row>
        <row r="1704">
          <cell r="J1704">
            <v>211175.65999999995</v>
          </cell>
        </row>
        <row r="1705">
          <cell r="J1705">
            <v>214125.65999999995</v>
          </cell>
        </row>
        <row r="1706">
          <cell r="J1706">
            <v>210825.65999999995</v>
          </cell>
        </row>
        <row r="1707">
          <cell r="J1707">
            <v>207825.65999999995</v>
          </cell>
        </row>
        <row r="1708">
          <cell r="J1708">
            <v>210825.65999999995</v>
          </cell>
        </row>
        <row r="1709">
          <cell r="J1709">
            <v>208625.65999999995</v>
          </cell>
        </row>
        <row r="1710">
          <cell r="J1710">
            <v>204225.65999999995</v>
          </cell>
        </row>
        <row r="1711">
          <cell r="J1711">
            <v>208225.65999999995</v>
          </cell>
        </row>
        <row r="1712">
          <cell r="J1712">
            <v>207125.65999999995</v>
          </cell>
        </row>
        <row r="1713">
          <cell r="J1713">
            <v>201625.65999999995</v>
          </cell>
        </row>
        <row r="1714">
          <cell r="J1714">
            <v>204625.65999999995</v>
          </cell>
        </row>
        <row r="1715">
          <cell r="J1715">
            <v>209208.98999999993</v>
          </cell>
        </row>
        <row r="1716">
          <cell r="J1716">
            <v>205908.98999999993</v>
          </cell>
        </row>
        <row r="1717">
          <cell r="J1717">
            <v>208908.98999999993</v>
          </cell>
        </row>
        <row r="1718">
          <cell r="J1718">
            <v>203408.98999999993</v>
          </cell>
        </row>
        <row r="1719">
          <cell r="J1719">
            <v>202308.98999999993</v>
          </cell>
        </row>
        <row r="1720">
          <cell r="J1720">
            <v>206308.98999999993</v>
          </cell>
        </row>
        <row r="1721">
          <cell r="J1721">
            <v>203008.98999999993</v>
          </cell>
        </row>
        <row r="1722">
          <cell r="J1722">
            <v>197508.98999999993</v>
          </cell>
        </row>
        <row r="1723">
          <cell r="J1723">
            <v>200508.98999999993</v>
          </cell>
        </row>
        <row r="1724">
          <cell r="J1724">
            <v>203508.98999999993</v>
          </cell>
        </row>
        <row r="1725">
          <cell r="J1725">
            <v>206508.98999999993</v>
          </cell>
        </row>
        <row r="1726">
          <cell r="J1726">
            <v>205408.98999999993</v>
          </cell>
        </row>
        <row r="1727">
          <cell r="J1727">
            <v>209408.98999999993</v>
          </cell>
        </row>
        <row r="1728">
          <cell r="J1728">
            <v>207208.98999999993</v>
          </cell>
        </row>
        <row r="1729">
          <cell r="J1729">
            <v>210208.98999999993</v>
          </cell>
        </row>
        <row r="1730">
          <cell r="J1730">
            <v>214408.98999999993</v>
          </cell>
        </row>
        <row r="1731">
          <cell r="J1731">
            <v>215408.98999999993</v>
          </cell>
        </row>
        <row r="1732">
          <cell r="J1732">
            <v>218408.98999999993</v>
          </cell>
        </row>
        <row r="1733">
          <cell r="J1733">
            <v>215108.98999999993</v>
          </cell>
        </row>
        <row r="1734">
          <cell r="J1734">
            <v>220108.98999999993</v>
          </cell>
        </row>
        <row r="1735">
          <cell r="J1735">
            <v>223290.80999999994</v>
          </cell>
        </row>
        <row r="1736">
          <cell r="J1736">
            <v>224290.80999999994</v>
          </cell>
        </row>
        <row r="1737">
          <cell r="J1737">
            <v>228290.80999999994</v>
          </cell>
        </row>
        <row r="1738">
          <cell r="J1738">
            <v>232290.80999999994</v>
          </cell>
        </row>
        <row r="1739">
          <cell r="J1739">
            <v>228990.80999999994</v>
          </cell>
        </row>
        <row r="1740">
          <cell r="J1740">
            <v>224590.80999999994</v>
          </cell>
        </row>
        <row r="1741">
          <cell r="J1741">
            <v>222390.80999999994</v>
          </cell>
        </row>
        <row r="1742">
          <cell r="J1742">
            <v>224390.80999999994</v>
          </cell>
        </row>
        <row r="1743">
          <cell r="J1743">
            <v>229390.80999999994</v>
          </cell>
        </row>
        <row r="1744">
          <cell r="J1744">
            <v>232015.80999999994</v>
          </cell>
        </row>
        <row r="1745">
          <cell r="J1745">
            <v>234015.80999999994</v>
          </cell>
        </row>
        <row r="1746">
          <cell r="J1746">
            <v>239015.80999999994</v>
          </cell>
        </row>
        <row r="1747">
          <cell r="J1747">
            <v>234615.80999999994</v>
          </cell>
        </row>
        <row r="1748">
          <cell r="J1748">
            <v>237615.80999999994</v>
          </cell>
        </row>
        <row r="1749">
          <cell r="J1749">
            <v>240615.80999999994</v>
          </cell>
        </row>
        <row r="1750">
          <cell r="J1750">
            <v>240115.80999999994</v>
          </cell>
        </row>
        <row r="1751">
          <cell r="J1751">
            <v>244115.80999999994</v>
          </cell>
        </row>
        <row r="1752">
          <cell r="J1752">
            <v>245115.80999999994</v>
          </cell>
        </row>
        <row r="1753">
          <cell r="J1753">
            <v>250115.80999999994</v>
          </cell>
        </row>
        <row r="1754">
          <cell r="J1754">
            <v>253115.80999999994</v>
          </cell>
        </row>
        <row r="1755">
          <cell r="J1755">
            <v>256115.80999999994</v>
          </cell>
        </row>
        <row r="1756">
          <cell r="J1756">
            <v>252815.80999999994</v>
          </cell>
        </row>
        <row r="1757">
          <cell r="J1757">
            <v>251715.80999999994</v>
          </cell>
        </row>
        <row r="1758">
          <cell r="J1758">
            <v>256715.80999999994</v>
          </cell>
        </row>
        <row r="1759">
          <cell r="J1759">
            <v>259715.80999999994</v>
          </cell>
        </row>
        <row r="1760">
          <cell r="J1760">
            <v>264715.80999999994</v>
          </cell>
        </row>
        <row r="1761">
          <cell r="J1761">
            <v>267715.80999999994</v>
          </cell>
        </row>
        <row r="1762">
          <cell r="J1762">
            <v>263315.80999999994</v>
          </cell>
        </row>
        <row r="1763">
          <cell r="J1763">
            <v>258915.80999999994</v>
          </cell>
        </row>
        <row r="1764">
          <cell r="J1764">
            <v>254515.80999999994</v>
          </cell>
        </row>
        <row r="1765">
          <cell r="J1765">
            <v>257515.80999999994</v>
          </cell>
        </row>
        <row r="1766">
          <cell r="J1766">
            <v>261515.80999999994</v>
          </cell>
        </row>
        <row r="1767">
          <cell r="J1767">
            <v>262515.80999999994</v>
          </cell>
        </row>
        <row r="1768">
          <cell r="J1768">
            <v>258115.80999999994</v>
          </cell>
        </row>
        <row r="1769">
          <cell r="J1769">
            <v>262115.80999999994</v>
          </cell>
        </row>
        <row r="1770">
          <cell r="J1770">
            <v>265115.80999999994</v>
          </cell>
        </row>
        <row r="1771">
          <cell r="J1771">
            <v>269115.80999999994</v>
          </cell>
        </row>
        <row r="1772">
          <cell r="J1772">
            <v>272240.80999999994</v>
          </cell>
        </row>
        <row r="1773">
          <cell r="J1773">
            <v>275240.80999999994</v>
          </cell>
        </row>
        <row r="1774">
          <cell r="J1774">
            <v>270840.80999999994</v>
          </cell>
        </row>
        <row r="1775">
          <cell r="J1775">
            <v>275840.80999999994</v>
          </cell>
        </row>
        <row r="1776">
          <cell r="J1776">
            <v>277924.13999999996</v>
          </cell>
        </row>
        <row r="1777">
          <cell r="J1777">
            <v>282924.13999999996</v>
          </cell>
        </row>
        <row r="1778">
          <cell r="J1778">
            <v>283924.13999999996</v>
          </cell>
        </row>
        <row r="1779">
          <cell r="J1779">
            <v>279524.13999999996</v>
          </cell>
        </row>
        <row r="1780">
          <cell r="J1780">
            <v>283524.13999999996</v>
          </cell>
        </row>
        <row r="1781">
          <cell r="J1781">
            <v>279124.13999999996</v>
          </cell>
        </row>
        <row r="1782">
          <cell r="J1782">
            <v>281124.13999999996</v>
          </cell>
        </row>
        <row r="1783">
          <cell r="J1783">
            <v>278924.13999999996</v>
          </cell>
        </row>
        <row r="1784">
          <cell r="J1784">
            <v>282257.46999999997</v>
          </cell>
        </row>
        <row r="1785">
          <cell r="J1785">
            <v>277857.46999999997</v>
          </cell>
        </row>
        <row r="1786">
          <cell r="J1786">
            <v>272357.46999999997</v>
          </cell>
        </row>
        <row r="1787">
          <cell r="J1787">
            <v>274357.46999999997</v>
          </cell>
        </row>
        <row r="1788">
          <cell r="J1788">
            <v>275357.46999999997</v>
          </cell>
        </row>
        <row r="1789">
          <cell r="J1789">
            <v>272857.46999999997</v>
          </cell>
        </row>
        <row r="1790">
          <cell r="J1790">
            <v>267357.46999999997</v>
          </cell>
        </row>
        <row r="1791">
          <cell r="J1791">
            <v>270357.46999999997</v>
          </cell>
        </row>
        <row r="1792">
          <cell r="J1792">
            <v>275357.46999999997</v>
          </cell>
        </row>
        <row r="1793">
          <cell r="J1793">
            <v>270957.46999999997</v>
          </cell>
        </row>
        <row r="1794">
          <cell r="J1794">
            <v>275957.46999999997</v>
          </cell>
        </row>
        <row r="1795">
          <cell r="J1795">
            <v>272657.46999999997</v>
          </cell>
        </row>
        <row r="1796">
          <cell r="J1796">
            <v>269357.46999999997</v>
          </cell>
        </row>
        <row r="1797">
          <cell r="J1797">
            <v>269357.46999999997</v>
          </cell>
        </row>
        <row r="1798">
          <cell r="J1798">
            <v>273057.46999999997</v>
          </cell>
        </row>
        <row r="1799">
          <cell r="J1799">
            <v>278057.46999999997</v>
          </cell>
        </row>
        <row r="1800">
          <cell r="J1800">
            <v>272557.46999999997</v>
          </cell>
        </row>
        <row r="1801">
          <cell r="J1801">
            <v>269257.46999999997</v>
          </cell>
        </row>
        <row r="1802">
          <cell r="J1802">
            <v>263757.46999999997</v>
          </cell>
        </row>
        <row r="1803">
          <cell r="J1803">
            <v>267757.46999999997</v>
          </cell>
        </row>
        <row r="1804">
          <cell r="J1804">
            <v>269757.46999999997</v>
          </cell>
        </row>
        <row r="1805">
          <cell r="J1805">
            <v>268757.46999999997</v>
          </cell>
        </row>
        <row r="1806">
          <cell r="J1806">
            <v>270297.46999999997</v>
          </cell>
        </row>
        <row r="1807">
          <cell r="J1807">
            <v>271167.46999999997</v>
          </cell>
        </row>
        <row r="1808">
          <cell r="J1808">
            <v>268167.46999999997</v>
          </cell>
        </row>
        <row r="1809">
          <cell r="J1809">
            <v>264867.46999999997</v>
          </cell>
        </row>
        <row r="1810">
          <cell r="J1810">
            <v>261567.46999999997</v>
          </cell>
        </row>
        <row r="1811">
          <cell r="J1811">
            <v>260467.46999999997</v>
          </cell>
        </row>
        <row r="1812">
          <cell r="J1812">
            <v>254967.46999999997</v>
          </cell>
        </row>
        <row r="1813">
          <cell r="J1813">
            <v>258967.46999999997</v>
          </cell>
        </row>
        <row r="1814">
          <cell r="J1814">
            <v>259967.46999999997</v>
          </cell>
        </row>
        <row r="1815">
          <cell r="J1815">
            <v>262967.46999999997</v>
          </cell>
        </row>
        <row r="1816">
          <cell r="J1816">
            <v>258567.46999999997</v>
          </cell>
        </row>
        <row r="1817">
          <cell r="J1817">
            <v>262567.46999999997</v>
          </cell>
        </row>
        <row r="1818">
          <cell r="J1818">
            <v>265567.46999999997</v>
          </cell>
        </row>
        <row r="1819">
          <cell r="J1819">
            <v>262267.46999999997</v>
          </cell>
        </row>
        <row r="1820">
          <cell r="J1820">
            <v>258967.46999999997</v>
          </cell>
        </row>
        <row r="1821">
          <cell r="J1821">
            <v>261967.46999999997</v>
          </cell>
        </row>
        <row r="1822">
          <cell r="J1822">
            <v>259767.46999999997</v>
          </cell>
        </row>
        <row r="1823">
          <cell r="J1823">
            <v>260767.46999999997</v>
          </cell>
        </row>
        <row r="1824">
          <cell r="J1824">
            <v>257467.46999999997</v>
          </cell>
        </row>
        <row r="1825">
          <cell r="J1825">
            <v>256367.46999999997</v>
          </cell>
        </row>
        <row r="1826">
          <cell r="J1826">
            <v>261367.46999999997</v>
          </cell>
        </row>
        <row r="1827">
          <cell r="J1827">
            <v>256967.46999999997</v>
          </cell>
        </row>
        <row r="1828">
          <cell r="J1828">
            <v>254217.46999999997</v>
          </cell>
        </row>
        <row r="1829">
          <cell r="J1829">
            <v>257217.46999999997</v>
          </cell>
        </row>
        <row r="1830">
          <cell r="J1830">
            <v>260217.46999999997</v>
          </cell>
        </row>
        <row r="1831">
          <cell r="J1831">
            <v>262217.46999999997</v>
          </cell>
        </row>
        <row r="1832">
          <cell r="J1832">
            <v>267217.46999999997</v>
          </cell>
        </row>
        <row r="1833">
          <cell r="J1833">
            <v>266117.46999999997</v>
          </cell>
        </row>
        <row r="1834">
          <cell r="J1834">
            <v>263117.46999999997</v>
          </cell>
        </row>
        <row r="1835">
          <cell r="J1835">
            <v>260917.46999999997</v>
          </cell>
        </row>
        <row r="1836">
          <cell r="J1836">
            <v>264917.46999999997</v>
          </cell>
        </row>
        <row r="1837">
          <cell r="J1837">
            <v>266735.64999999997</v>
          </cell>
        </row>
        <row r="1838">
          <cell r="J1838">
            <v>271735.64999999997</v>
          </cell>
        </row>
        <row r="1839">
          <cell r="J1839">
            <v>274885.64999999997</v>
          </cell>
        </row>
        <row r="1840">
          <cell r="J1840">
            <v>273885.64999999997</v>
          </cell>
        </row>
        <row r="1841">
          <cell r="J1841">
            <v>275885.64999999997</v>
          </cell>
        </row>
        <row r="1842">
          <cell r="J1842">
            <v>281440.64999999997</v>
          </cell>
        </row>
        <row r="1843">
          <cell r="J1843">
            <v>284440.64999999997</v>
          </cell>
        </row>
        <row r="1844">
          <cell r="J1844">
            <v>283340.64999999997</v>
          </cell>
        </row>
        <row r="1845">
          <cell r="J1845">
            <v>280040.64999999997</v>
          </cell>
        </row>
        <row r="1846">
          <cell r="J1846">
            <v>283040.64999999997</v>
          </cell>
        </row>
        <row r="1847">
          <cell r="J1847">
            <v>280840.64999999997</v>
          </cell>
        </row>
        <row r="1848">
          <cell r="J1848">
            <v>277540.64999999997</v>
          </cell>
        </row>
        <row r="1849">
          <cell r="J1849">
            <v>274240.64999999997</v>
          </cell>
        </row>
        <row r="1850">
          <cell r="J1850">
            <v>276513.37999999995</v>
          </cell>
        </row>
        <row r="1851">
          <cell r="J1851">
            <v>281513.37999999995</v>
          </cell>
        </row>
        <row r="1852">
          <cell r="J1852">
            <v>278513.37999999995</v>
          </cell>
        </row>
        <row r="1853">
          <cell r="J1853">
            <v>281240.64999999997</v>
          </cell>
        </row>
        <row r="1854">
          <cell r="J1854">
            <v>283513.37999999995</v>
          </cell>
        </row>
        <row r="1855">
          <cell r="J1855">
            <v>287513.37999999995</v>
          </cell>
        </row>
        <row r="1856">
          <cell r="J1856">
            <v>290513.37999999995</v>
          </cell>
        </row>
        <row r="1857">
          <cell r="J1857">
            <v>287213.37999999995</v>
          </cell>
        </row>
        <row r="1858">
          <cell r="J1858">
            <v>282713.37999999995</v>
          </cell>
        </row>
        <row r="1859">
          <cell r="J1859">
            <v>284813.37999999995</v>
          </cell>
        </row>
        <row r="1860">
          <cell r="J1860">
            <v>287313.37999999995</v>
          </cell>
        </row>
        <row r="1861">
          <cell r="J1861">
            <v>286313.37999999995</v>
          </cell>
        </row>
        <row r="1862">
          <cell r="J1862">
            <v>283013.37999999995</v>
          </cell>
        </row>
        <row r="1863">
          <cell r="J1863">
            <v>281013.37999999995</v>
          </cell>
        </row>
        <row r="1864">
          <cell r="J1864">
            <v>277713.37999999995</v>
          </cell>
        </row>
        <row r="1865">
          <cell r="J1865">
            <v>280713.37999999995</v>
          </cell>
        </row>
        <row r="1866">
          <cell r="J1866">
            <v>282713.37999999995</v>
          </cell>
        </row>
        <row r="1867">
          <cell r="J1867">
            <v>277213.37999999995</v>
          </cell>
        </row>
        <row r="1868">
          <cell r="J1868">
            <v>271713.37999999995</v>
          </cell>
        </row>
        <row r="1869">
          <cell r="J1869">
            <v>273452.50999999995</v>
          </cell>
        </row>
        <row r="1870">
          <cell r="J1870">
            <v>270152.50999999995</v>
          </cell>
        </row>
        <row r="1871">
          <cell r="J1871">
            <v>266652.50999999995</v>
          </cell>
        </row>
        <row r="1872">
          <cell r="J1872">
            <v>264452.50999999995</v>
          </cell>
        </row>
        <row r="1873">
          <cell r="J1873">
            <v>267495.98999999993</v>
          </cell>
        </row>
        <row r="1874">
          <cell r="J1874">
            <v>267495.98999999993</v>
          </cell>
        </row>
        <row r="1875">
          <cell r="J1875">
            <v>270495.98999999993</v>
          </cell>
        </row>
        <row r="1876">
          <cell r="J1876">
            <v>264995.98999999993</v>
          </cell>
        </row>
        <row r="1877">
          <cell r="J1877">
            <v>267995.98999999993</v>
          </cell>
        </row>
        <row r="1878">
          <cell r="J1878">
            <v>271995.98999999993</v>
          </cell>
        </row>
        <row r="1879">
          <cell r="J1879">
            <v>269795.98999999993</v>
          </cell>
        </row>
        <row r="1880">
          <cell r="J1880">
            <v>272938.84999999992</v>
          </cell>
        </row>
        <row r="1881">
          <cell r="J1881">
            <v>276688.84999999992</v>
          </cell>
        </row>
        <row r="1882">
          <cell r="J1882">
            <v>275588.84999999992</v>
          </cell>
        </row>
        <row r="1883">
          <cell r="J1883">
            <v>278588.84999999992</v>
          </cell>
        </row>
        <row r="1884">
          <cell r="J1884">
            <v>281588.84999999992</v>
          </cell>
        </row>
        <row r="1885">
          <cell r="J1885">
            <v>277188.84999999992</v>
          </cell>
        </row>
        <row r="1886">
          <cell r="J1886">
            <v>281188.84999999992</v>
          </cell>
        </row>
        <row r="1887">
          <cell r="J1887">
            <v>281188.84999999992</v>
          </cell>
        </row>
        <row r="1888">
          <cell r="J1888">
            <v>286188.84999999992</v>
          </cell>
        </row>
        <row r="1889">
          <cell r="J1889">
            <v>282888.84999999992</v>
          </cell>
        </row>
        <row r="1890">
          <cell r="J1890">
            <v>285888.84999999992</v>
          </cell>
        </row>
        <row r="1891">
          <cell r="J1891">
            <v>287888.84999999992</v>
          </cell>
        </row>
        <row r="1892">
          <cell r="J1892">
            <v>290888.84999999992</v>
          </cell>
        </row>
        <row r="1893">
          <cell r="J1893">
            <v>292888.84999999992</v>
          </cell>
        </row>
        <row r="1894">
          <cell r="J1894">
            <v>291788.84999999992</v>
          </cell>
        </row>
        <row r="1895">
          <cell r="J1895">
            <v>293788.84999999992</v>
          </cell>
        </row>
        <row r="1896">
          <cell r="J1896">
            <v>292788.84999999992</v>
          </cell>
        </row>
        <row r="1897">
          <cell r="J1897">
            <v>287288.84999999992</v>
          </cell>
        </row>
        <row r="1898">
          <cell r="J1898">
            <v>289288.84999999992</v>
          </cell>
        </row>
        <row r="1899">
          <cell r="J1899">
            <v>292438.84999999992</v>
          </cell>
        </row>
        <row r="1900">
          <cell r="J1900">
            <v>289138.84999999992</v>
          </cell>
        </row>
        <row r="1901">
          <cell r="J1901">
            <v>293138.84999999992</v>
          </cell>
        </row>
        <row r="1902">
          <cell r="J1902">
            <v>289138.84999999992</v>
          </cell>
        </row>
        <row r="1903">
          <cell r="J1903">
            <v>288138.84999999992</v>
          </cell>
        </row>
        <row r="1904">
          <cell r="J1904">
            <v>285938.84999999992</v>
          </cell>
        </row>
        <row r="1905">
          <cell r="J1905">
            <v>282638.84999999992</v>
          </cell>
        </row>
        <row r="1906">
          <cell r="J1906">
            <v>277138.84999999992</v>
          </cell>
        </row>
        <row r="1907">
          <cell r="J1907">
            <v>272738.84999999992</v>
          </cell>
        </row>
        <row r="1908">
          <cell r="J1908">
            <v>275738.84999999992</v>
          </cell>
        </row>
        <row r="1909">
          <cell r="J1909">
            <v>273538.84999999992</v>
          </cell>
        </row>
        <row r="1910">
          <cell r="J1910">
            <v>276538.84999999992</v>
          </cell>
        </row>
        <row r="1911">
          <cell r="J1911">
            <v>275438.84999999992</v>
          </cell>
        </row>
        <row r="1912">
          <cell r="J1912">
            <v>272138.84999999992</v>
          </cell>
        </row>
        <row r="1913">
          <cell r="J1913">
            <v>266638.84999999992</v>
          </cell>
        </row>
        <row r="1914">
          <cell r="J1914">
            <v>269972.17999999993</v>
          </cell>
        </row>
        <row r="1915">
          <cell r="J1915">
            <v>268972.17999999993</v>
          </cell>
        </row>
        <row r="1916">
          <cell r="J1916">
            <v>264572.17999999993</v>
          </cell>
        </row>
        <row r="1917">
          <cell r="J1917">
            <v>260172.17999999993</v>
          </cell>
        </row>
        <row r="1918">
          <cell r="J1918">
            <v>259072.17999999993</v>
          </cell>
        </row>
        <row r="1919">
          <cell r="J1919">
            <v>256872.17999999993</v>
          </cell>
        </row>
        <row r="1920">
          <cell r="J1920">
            <v>253572.17999999993</v>
          </cell>
        </row>
        <row r="1921">
          <cell r="J1921">
            <v>248072.17999999993</v>
          </cell>
        </row>
        <row r="1922">
          <cell r="J1922">
            <v>251072.17999999993</v>
          </cell>
        </row>
        <row r="1923">
          <cell r="J1923">
            <v>256072.17999999993</v>
          </cell>
        </row>
        <row r="1924">
          <cell r="J1924">
            <v>250572.17999999993</v>
          </cell>
        </row>
        <row r="1925">
          <cell r="J1925">
            <v>255572.17999999993</v>
          </cell>
        </row>
        <row r="1926">
          <cell r="J1926">
            <v>253072.17999999993</v>
          </cell>
        </row>
        <row r="1927">
          <cell r="J1927">
            <v>249772.17999999993</v>
          </cell>
        </row>
        <row r="1928">
          <cell r="J1928">
            <v>254772.17999999993</v>
          </cell>
        </row>
        <row r="1929">
          <cell r="J1929">
            <v>251472.17999999993</v>
          </cell>
        </row>
        <row r="1930">
          <cell r="J1930">
            <v>248172.17999999993</v>
          </cell>
        </row>
        <row r="1931">
          <cell r="J1931">
            <v>244872.17999999993</v>
          </cell>
        </row>
        <row r="1932">
          <cell r="J1932">
            <v>242672.17999999993</v>
          </cell>
        </row>
        <row r="1933">
          <cell r="J1933">
            <v>244672.17999999993</v>
          </cell>
        </row>
        <row r="1934">
          <cell r="J1934">
            <v>249672.17999999993</v>
          </cell>
        </row>
        <row r="1935">
          <cell r="J1935">
            <v>253672.17999999993</v>
          </cell>
        </row>
        <row r="1936">
          <cell r="J1936">
            <v>250372.17999999993</v>
          </cell>
        </row>
        <row r="1937">
          <cell r="J1937">
            <v>244872.17999999993</v>
          </cell>
        </row>
        <row r="1938">
          <cell r="J1938">
            <v>245872.17999999993</v>
          </cell>
        </row>
        <row r="1939">
          <cell r="J1939">
            <v>249872.17999999993</v>
          </cell>
        </row>
        <row r="1940">
          <cell r="J1940">
            <v>252872.17999999993</v>
          </cell>
        </row>
        <row r="1941">
          <cell r="J1941">
            <v>249572.17999999993</v>
          </cell>
        </row>
        <row r="1942">
          <cell r="J1942">
            <v>252572.17999999993</v>
          </cell>
        </row>
        <row r="1943">
          <cell r="J1943">
            <v>255488.84999999995</v>
          </cell>
        </row>
        <row r="1944">
          <cell r="J1944">
            <v>255488.84999999995</v>
          </cell>
        </row>
        <row r="1945">
          <cell r="J1945">
            <v>260488.84999999995</v>
          </cell>
        </row>
        <row r="1946">
          <cell r="J1946">
            <v>263488.84999999998</v>
          </cell>
        </row>
        <row r="1947">
          <cell r="J1947">
            <v>265488.84999999998</v>
          </cell>
        </row>
        <row r="1948">
          <cell r="J1948">
            <v>267888.84999999998</v>
          </cell>
        </row>
        <row r="1949">
          <cell r="J1949">
            <v>263488.84999999998</v>
          </cell>
        </row>
        <row r="1950">
          <cell r="J1950">
            <v>267488.84999999998</v>
          </cell>
        </row>
        <row r="1951">
          <cell r="J1951">
            <v>267488.84999999998</v>
          </cell>
        </row>
        <row r="1952">
          <cell r="J1952">
            <v>261988.84999999998</v>
          </cell>
        </row>
        <row r="1953">
          <cell r="J1953">
            <v>266988.84999999998</v>
          </cell>
        </row>
        <row r="1954">
          <cell r="J1954">
            <v>270988.84999999998</v>
          </cell>
        </row>
        <row r="1955">
          <cell r="J1955">
            <v>267688.84999999998</v>
          </cell>
        </row>
        <row r="1956">
          <cell r="J1956">
            <v>262188.84999999998</v>
          </cell>
        </row>
        <row r="1957">
          <cell r="J1957">
            <v>263188.84999999998</v>
          </cell>
        </row>
        <row r="1958">
          <cell r="J1958">
            <v>268188.84999999998</v>
          </cell>
        </row>
        <row r="1959">
          <cell r="J1959">
            <v>271188.84999999998</v>
          </cell>
        </row>
        <row r="1960">
          <cell r="J1960">
            <v>267888.84999999998</v>
          </cell>
        </row>
        <row r="1961">
          <cell r="J1961">
            <v>271888.84999999998</v>
          </cell>
        </row>
        <row r="1962">
          <cell r="J1962">
            <v>275888.84999999998</v>
          </cell>
        </row>
        <row r="1963">
          <cell r="J1963">
            <v>278888.84999999998</v>
          </cell>
        </row>
        <row r="1964">
          <cell r="J1964">
            <v>280888.84999999998</v>
          </cell>
        </row>
        <row r="1965">
          <cell r="J1965">
            <v>283888.84999999998</v>
          </cell>
        </row>
        <row r="1966">
          <cell r="J1966">
            <v>278388.84999999998</v>
          </cell>
        </row>
        <row r="1967">
          <cell r="J1967">
            <v>277288.84999999998</v>
          </cell>
        </row>
        <row r="1968">
          <cell r="J1968">
            <v>273988.84999999998</v>
          </cell>
        </row>
        <row r="1969">
          <cell r="J1969">
            <v>270688.84999999998</v>
          </cell>
        </row>
        <row r="1970">
          <cell r="J1970">
            <v>266688.84999999998</v>
          </cell>
        </row>
        <row r="1971">
          <cell r="J1971">
            <v>267688.84999999998</v>
          </cell>
        </row>
        <row r="1972">
          <cell r="J1972">
            <v>270688.84999999998</v>
          </cell>
        </row>
        <row r="1973">
          <cell r="J1973">
            <v>275688.84999999998</v>
          </cell>
        </row>
        <row r="1974">
          <cell r="J1974">
            <v>279688.84999999998</v>
          </cell>
        </row>
        <row r="1975">
          <cell r="J1975">
            <v>282688.84999999998</v>
          </cell>
        </row>
        <row r="1976">
          <cell r="J1976">
            <v>283688.84999999998</v>
          </cell>
        </row>
        <row r="1977">
          <cell r="J1977">
            <v>279288.84999999998</v>
          </cell>
        </row>
        <row r="1978">
          <cell r="J1978">
            <v>275988.84999999998</v>
          </cell>
        </row>
        <row r="1979">
          <cell r="J1979">
            <v>279988.84999999998</v>
          </cell>
        </row>
        <row r="1980">
          <cell r="J1980">
            <v>282188.84999999998</v>
          </cell>
        </row>
        <row r="1981">
          <cell r="J1981">
            <v>283188.84999999998</v>
          </cell>
        </row>
        <row r="1982">
          <cell r="J1982">
            <v>280188.84999999998</v>
          </cell>
        </row>
        <row r="1983">
          <cell r="J1983">
            <v>276888.84999999998</v>
          </cell>
        </row>
        <row r="1984">
          <cell r="J1984">
            <v>271388.84999999998</v>
          </cell>
        </row>
        <row r="1985">
          <cell r="J1985">
            <v>268088.84999999998</v>
          </cell>
        </row>
        <row r="1986">
          <cell r="J1986">
            <v>265888.84999999998</v>
          </cell>
        </row>
        <row r="1987">
          <cell r="J1987">
            <v>268888.84999999998</v>
          </cell>
        </row>
        <row r="1988">
          <cell r="J1988">
            <v>265588.84999999998</v>
          </cell>
        </row>
        <row r="1989">
          <cell r="J1989">
            <v>262288.84999999998</v>
          </cell>
        </row>
        <row r="1990">
          <cell r="J1990">
            <v>263288.84999999998</v>
          </cell>
        </row>
        <row r="1991">
          <cell r="J1991">
            <v>265288.84999999998</v>
          </cell>
        </row>
        <row r="1992">
          <cell r="J1992">
            <v>268288.84999999998</v>
          </cell>
        </row>
        <row r="1993">
          <cell r="J1993">
            <v>272288.84999999998</v>
          </cell>
        </row>
        <row r="1994">
          <cell r="J1994">
            <v>266788.84999999998</v>
          </cell>
        </row>
        <row r="1995">
          <cell r="J1995">
            <v>264588.84999999998</v>
          </cell>
        </row>
        <row r="1996">
          <cell r="J1996">
            <v>266588.84999999998</v>
          </cell>
        </row>
        <row r="1997">
          <cell r="J1997">
            <v>263288.84999999998</v>
          </cell>
        </row>
        <row r="1998">
          <cell r="J1998">
            <v>257788.84999999998</v>
          </cell>
        </row>
        <row r="1999">
          <cell r="J1999">
            <v>260788.84999999998</v>
          </cell>
        </row>
        <row r="2000">
          <cell r="J2000">
            <v>257788.84999999998</v>
          </cell>
        </row>
        <row r="2001">
          <cell r="J2001">
            <v>254488.84999999998</v>
          </cell>
        </row>
        <row r="2002">
          <cell r="J2002">
            <v>257488.84999999998</v>
          </cell>
        </row>
        <row r="2003">
          <cell r="J2003">
            <v>254188.84999999998</v>
          </cell>
        </row>
        <row r="2004">
          <cell r="J2004">
            <v>250888.84999999998</v>
          </cell>
        </row>
        <row r="2005">
          <cell r="J2005">
            <v>247588.84999999998</v>
          </cell>
        </row>
        <row r="2006">
          <cell r="J2006">
            <v>242088.84999999998</v>
          </cell>
        </row>
        <row r="2007">
          <cell r="J2007">
            <v>242088.84999999998</v>
          </cell>
        </row>
        <row r="2008">
          <cell r="J2008">
            <v>236588.84999999998</v>
          </cell>
        </row>
        <row r="2009">
          <cell r="J2009">
            <v>237588.84999999998</v>
          </cell>
        </row>
        <row r="2010">
          <cell r="J2010">
            <v>242588.84999999998</v>
          </cell>
        </row>
        <row r="2011">
          <cell r="J2011">
            <v>238588.84999999998</v>
          </cell>
        </row>
        <row r="2012">
          <cell r="J2012">
            <v>234188.84999999998</v>
          </cell>
        </row>
        <row r="2013">
          <cell r="J2013">
            <v>231188.84999999998</v>
          </cell>
        </row>
        <row r="2014">
          <cell r="J2014">
            <v>227888.84999999998</v>
          </cell>
        </row>
        <row r="2015">
          <cell r="J2015">
            <v>225688.84999999998</v>
          </cell>
        </row>
        <row r="2016">
          <cell r="J2016">
            <v>228605.52</v>
          </cell>
        </row>
        <row r="2017">
          <cell r="J2017">
            <v>225305.52</v>
          </cell>
        </row>
        <row r="2018">
          <cell r="J2018">
            <v>229305.52</v>
          </cell>
        </row>
        <row r="2019">
          <cell r="J2019">
            <v>223805.52</v>
          </cell>
        </row>
        <row r="2020">
          <cell r="J2020">
            <v>219405.52</v>
          </cell>
        </row>
        <row r="2021">
          <cell r="J2021">
            <v>221405.52</v>
          </cell>
        </row>
        <row r="2022">
          <cell r="J2022">
            <v>220405.52</v>
          </cell>
        </row>
        <row r="2023">
          <cell r="J2023">
            <v>223405.52</v>
          </cell>
        </row>
        <row r="2024">
          <cell r="J2024">
            <v>221205.52</v>
          </cell>
        </row>
        <row r="2025">
          <cell r="J2025">
            <v>217905.52</v>
          </cell>
        </row>
        <row r="2026">
          <cell r="J2026">
            <v>221905.52</v>
          </cell>
        </row>
        <row r="2027">
          <cell r="J2027">
            <v>226905.52</v>
          </cell>
        </row>
        <row r="2028">
          <cell r="J2028">
            <v>223605.52</v>
          </cell>
        </row>
        <row r="2029">
          <cell r="J2029">
            <v>222505.52</v>
          </cell>
        </row>
        <row r="2030">
          <cell r="J2030">
            <v>224505.52</v>
          </cell>
        </row>
        <row r="2031">
          <cell r="J2031">
            <v>221205.52</v>
          </cell>
        </row>
        <row r="2032">
          <cell r="J2032">
            <v>221205.52</v>
          </cell>
        </row>
        <row r="2033">
          <cell r="J2033">
            <v>226205.52</v>
          </cell>
        </row>
        <row r="2034">
          <cell r="J2034">
            <v>228205.52</v>
          </cell>
        </row>
        <row r="2035">
          <cell r="J2035">
            <v>228205.52</v>
          </cell>
        </row>
        <row r="2036">
          <cell r="J2036">
            <v>228205.52</v>
          </cell>
        </row>
        <row r="2037">
          <cell r="J2037">
            <v>233205.52</v>
          </cell>
        </row>
        <row r="2038">
          <cell r="J2038">
            <v>229905.52</v>
          </cell>
        </row>
        <row r="2039">
          <cell r="J2039">
            <v>233905.52</v>
          </cell>
        </row>
        <row r="2040">
          <cell r="J2040">
            <v>234905.52</v>
          </cell>
        </row>
        <row r="2041">
          <cell r="J2041">
            <v>239905.52</v>
          </cell>
        </row>
        <row r="2042">
          <cell r="J2042">
            <v>235505.52</v>
          </cell>
        </row>
        <row r="2043">
          <cell r="J2043">
            <v>238505.52</v>
          </cell>
        </row>
        <row r="2044">
          <cell r="J2044">
            <v>243505.52</v>
          </cell>
        </row>
        <row r="2045">
          <cell r="J2045">
            <v>248785.52</v>
          </cell>
        </row>
        <row r="2046">
          <cell r="J2046">
            <v>253785.52</v>
          </cell>
        </row>
        <row r="2047">
          <cell r="J2047">
            <v>256512.78999999998</v>
          </cell>
        </row>
        <row r="2048">
          <cell r="J2048">
            <v>259112.78999999998</v>
          </cell>
        </row>
        <row r="2049">
          <cell r="J2049">
            <v>255812.78999999998</v>
          </cell>
        </row>
        <row r="2050">
          <cell r="J2050">
            <v>252512.78999999998</v>
          </cell>
        </row>
        <row r="2051">
          <cell r="J2051">
            <v>255694.61</v>
          </cell>
        </row>
        <row r="2052">
          <cell r="J2052">
            <v>260694.61</v>
          </cell>
        </row>
        <row r="2053">
          <cell r="J2053">
            <v>258494.61</v>
          </cell>
        </row>
        <row r="2054">
          <cell r="J2054">
            <v>257394.61</v>
          </cell>
        </row>
        <row r="2055">
          <cell r="J2055">
            <v>254094.61</v>
          </cell>
        </row>
        <row r="2056">
          <cell r="J2056">
            <v>251894.61</v>
          </cell>
        </row>
        <row r="2057">
          <cell r="J2057">
            <v>247494.61</v>
          </cell>
        </row>
        <row r="2058">
          <cell r="J2058">
            <v>241994.61</v>
          </cell>
        </row>
        <row r="2059">
          <cell r="J2059">
            <v>244994.61</v>
          </cell>
        </row>
        <row r="2060">
          <cell r="J2060">
            <v>238494.61</v>
          </cell>
        </row>
        <row r="2061">
          <cell r="J2061">
            <v>243494.61</v>
          </cell>
        </row>
        <row r="2062">
          <cell r="J2062">
            <v>240194.61</v>
          </cell>
        </row>
        <row r="2063">
          <cell r="J2063">
            <v>234794.61</v>
          </cell>
        </row>
        <row r="2064">
          <cell r="J2064">
            <v>238794.61</v>
          </cell>
        </row>
        <row r="2065">
          <cell r="J2065">
            <v>239794.61</v>
          </cell>
        </row>
        <row r="2066">
          <cell r="J2066">
            <v>237594.61</v>
          </cell>
        </row>
        <row r="2067">
          <cell r="J2067">
            <v>234294.61</v>
          </cell>
        </row>
        <row r="2068">
          <cell r="J2068">
            <v>234294.61</v>
          </cell>
        </row>
        <row r="2069">
          <cell r="J2069">
            <v>239294.61</v>
          </cell>
        </row>
        <row r="2070">
          <cell r="J2070">
            <v>242294.61</v>
          </cell>
        </row>
        <row r="2071">
          <cell r="J2071">
            <v>238994.61</v>
          </cell>
        </row>
        <row r="2072">
          <cell r="J2072">
            <v>241994.61</v>
          </cell>
        </row>
        <row r="2073">
          <cell r="J2073">
            <v>244994.61</v>
          </cell>
        </row>
        <row r="2074">
          <cell r="J2074">
            <v>240994.61</v>
          </cell>
        </row>
        <row r="2075">
          <cell r="J2075">
            <v>235494.61</v>
          </cell>
        </row>
        <row r="2076">
          <cell r="J2076">
            <v>238494.61</v>
          </cell>
        </row>
        <row r="2077">
          <cell r="J2077">
            <v>243494.61</v>
          </cell>
        </row>
        <row r="2078">
          <cell r="J2078">
            <v>248494.61</v>
          </cell>
        </row>
        <row r="2079">
          <cell r="J2079">
            <v>252494.61</v>
          </cell>
        </row>
        <row r="2080">
          <cell r="J2080">
            <v>257494.61</v>
          </cell>
        </row>
        <row r="2081">
          <cell r="J2081">
            <v>260411.28</v>
          </cell>
        </row>
        <row r="2082">
          <cell r="J2082">
            <v>261411.28</v>
          </cell>
        </row>
        <row r="2083">
          <cell r="J2083">
            <v>266411.28000000003</v>
          </cell>
        </row>
        <row r="2084">
          <cell r="J2084">
            <v>268381.28000000003</v>
          </cell>
        </row>
        <row r="2085">
          <cell r="J2085">
            <v>264881.28000000003</v>
          </cell>
        </row>
        <row r="2086">
          <cell r="J2086">
            <v>266881.28000000003</v>
          </cell>
        </row>
        <row r="2087">
          <cell r="J2087">
            <v>268881.28000000003</v>
          </cell>
        </row>
        <row r="2088">
          <cell r="J2088">
            <v>269881.28000000003</v>
          </cell>
        </row>
        <row r="2089">
          <cell r="J2089">
            <v>267681.28000000003</v>
          </cell>
        </row>
        <row r="2090">
          <cell r="J2090">
            <v>268681.28000000003</v>
          </cell>
        </row>
        <row r="2091">
          <cell r="J2091">
            <v>272681.28000000003</v>
          </cell>
        </row>
        <row r="2092">
          <cell r="J2092">
            <v>267181.28000000003</v>
          </cell>
        </row>
        <row r="2093">
          <cell r="J2093">
            <v>267181.28000000003</v>
          </cell>
        </row>
        <row r="2094">
          <cell r="J2094">
            <v>270181.28000000003</v>
          </cell>
        </row>
        <row r="2095">
          <cell r="J2095">
            <v>274181.28000000003</v>
          </cell>
        </row>
        <row r="2096">
          <cell r="J2096">
            <v>277181.28000000003</v>
          </cell>
        </row>
        <row r="2097">
          <cell r="J2097">
            <v>280181.28000000003</v>
          </cell>
        </row>
        <row r="2098">
          <cell r="J2098">
            <v>282181.28000000003</v>
          </cell>
        </row>
        <row r="2099">
          <cell r="J2099">
            <v>277781.28000000003</v>
          </cell>
        </row>
        <row r="2100">
          <cell r="J2100">
            <v>276681.28000000003</v>
          </cell>
        </row>
        <row r="2101">
          <cell r="J2101">
            <v>276181.28000000003</v>
          </cell>
        </row>
        <row r="2102">
          <cell r="J2102">
            <v>281181.28000000003</v>
          </cell>
        </row>
        <row r="2103">
          <cell r="J2103">
            <v>277881.28000000003</v>
          </cell>
        </row>
        <row r="2104">
          <cell r="J2104">
            <v>274581.28000000003</v>
          </cell>
        </row>
        <row r="2105">
          <cell r="J2105">
            <v>278581.28000000003</v>
          </cell>
        </row>
        <row r="2106">
          <cell r="J2106">
            <v>280581.28000000003</v>
          </cell>
        </row>
        <row r="2107">
          <cell r="J2107">
            <v>278381.28000000003</v>
          </cell>
        </row>
        <row r="2108">
          <cell r="J2108">
            <v>273981.28000000003</v>
          </cell>
        </row>
        <row r="2109">
          <cell r="J2109">
            <v>278981.28000000003</v>
          </cell>
        </row>
        <row r="2110">
          <cell r="J2110">
            <v>275681.28000000003</v>
          </cell>
        </row>
        <row r="2111">
          <cell r="J2111">
            <v>274681.28000000003</v>
          </cell>
        </row>
        <row r="2112">
          <cell r="J2112">
            <v>276681.28000000003</v>
          </cell>
        </row>
        <row r="2113">
          <cell r="J2113">
            <v>274481.28000000003</v>
          </cell>
        </row>
        <row r="2114">
          <cell r="J2114">
            <v>271181.28000000003</v>
          </cell>
        </row>
        <row r="2115">
          <cell r="J2115">
            <v>267881.28000000003</v>
          </cell>
        </row>
        <row r="2116">
          <cell r="J2116">
            <v>265681.28000000003</v>
          </cell>
        </row>
        <row r="2117">
          <cell r="J2117">
            <v>266681.28000000003</v>
          </cell>
        </row>
        <row r="2118">
          <cell r="J2118">
            <v>263381.28000000003</v>
          </cell>
        </row>
        <row r="2119">
          <cell r="J2119">
            <v>258981.28000000003</v>
          </cell>
        </row>
        <row r="2120">
          <cell r="J2120">
            <v>262981.28000000003</v>
          </cell>
        </row>
        <row r="2121">
          <cell r="J2121">
            <v>259681.28000000003</v>
          </cell>
        </row>
        <row r="2122">
          <cell r="J2122">
            <v>261681.28000000003</v>
          </cell>
        </row>
        <row r="2123">
          <cell r="J2123">
            <v>266681.28000000003</v>
          </cell>
        </row>
        <row r="2124">
          <cell r="J2124">
            <v>263681.28000000003</v>
          </cell>
        </row>
        <row r="2125">
          <cell r="J2125">
            <v>265681.28000000003</v>
          </cell>
        </row>
        <row r="2126">
          <cell r="J2126">
            <v>270681.28000000003</v>
          </cell>
        </row>
        <row r="2127">
          <cell r="J2127">
            <v>272954.28000000003</v>
          </cell>
        </row>
        <row r="2128">
          <cell r="J2128">
            <v>275954.28000000003</v>
          </cell>
        </row>
        <row r="2129">
          <cell r="J2129">
            <v>272654.28000000003</v>
          </cell>
        </row>
        <row r="2130">
          <cell r="J2130">
            <v>269354.28000000003</v>
          </cell>
        </row>
        <row r="2131">
          <cell r="J2131">
            <v>267154.28000000003</v>
          </cell>
        </row>
        <row r="2132">
          <cell r="J2132">
            <v>268154.28000000003</v>
          </cell>
        </row>
        <row r="2133">
          <cell r="J2133">
            <v>262654.28000000003</v>
          </cell>
        </row>
        <row r="2134">
          <cell r="J2134">
            <v>266654.28000000003</v>
          </cell>
        </row>
        <row r="2135">
          <cell r="J2135">
            <v>264454.28000000003</v>
          </cell>
        </row>
        <row r="2136">
          <cell r="J2136">
            <v>268454.28000000003</v>
          </cell>
        </row>
        <row r="2137">
          <cell r="J2137">
            <v>266254.28000000003</v>
          </cell>
        </row>
        <row r="2138">
          <cell r="J2138">
            <v>269254.28000000003</v>
          </cell>
        </row>
        <row r="2139">
          <cell r="J2139">
            <v>268254.28000000003</v>
          </cell>
        </row>
        <row r="2140">
          <cell r="J2140">
            <v>262754.28000000003</v>
          </cell>
        </row>
        <row r="2141">
          <cell r="J2141">
            <v>258354.28000000003</v>
          </cell>
        </row>
        <row r="2142">
          <cell r="J2142">
            <v>261354.28000000003</v>
          </cell>
        </row>
        <row r="2143">
          <cell r="J2143">
            <v>262354.28000000003</v>
          </cell>
        </row>
        <row r="2144">
          <cell r="J2144">
            <v>260154.28000000003</v>
          </cell>
        </row>
        <row r="2145">
          <cell r="J2145">
            <v>261154.28000000003</v>
          </cell>
        </row>
        <row r="2146">
          <cell r="J2146">
            <v>258154.28000000003</v>
          </cell>
        </row>
        <row r="2147">
          <cell r="J2147">
            <v>263154.28000000003</v>
          </cell>
        </row>
        <row r="2148">
          <cell r="J2148">
            <v>260954.28000000003</v>
          </cell>
        </row>
        <row r="2149">
          <cell r="J2149">
            <v>256554.28000000003</v>
          </cell>
        </row>
        <row r="2150">
          <cell r="J2150">
            <v>252154.28000000003</v>
          </cell>
        </row>
        <row r="2151">
          <cell r="J2151">
            <v>255154.28000000003</v>
          </cell>
        </row>
        <row r="2152">
          <cell r="J2152">
            <v>251854.28000000003</v>
          </cell>
        </row>
        <row r="2153">
          <cell r="J2153">
            <v>247454.28000000003</v>
          </cell>
        </row>
        <row r="2154">
          <cell r="J2154">
            <v>241954.28000000003</v>
          </cell>
        </row>
        <row r="2155">
          <cell r="J2155">
            <v>244954.28000000003</v>
          </cell>
        </row>
        <row r="2156">
          <cell r="J2156">
            <v>246954.28000000003</v>
          </cell>
        </row>
        <row r="2157">
          <cell r="J2157">
            <v>250704.28000000003</v>
          </cell>
        </row>
        <row r="2158">
          <cell r="J2158">
            <v>251704.28000000003</v>
          </cell>
        </row>
        <row r="2159">
          <cell r="J2159">
            <v>249504.28000000003</v>
          </cell>
        </row>
        <row r="2160">
          <cell r="J2160">
            <v>245104.28000000003</v>
          </cell>
        </row>
        <row r="2161">
          <cell r="J2161">
            <v>240704.28000000003</v>
          </cell>
        </row>
        <row r="2162">
          <cell r="J2162">
            <v>245704.28000000003</v>
          </cell>
        </row>
        <row r="2163">
          <cell r="J2163">
            <v>241304.28000000003</v>
          </cell>
        </row>
        <row r="2164">
          <cell r="J2164">
            <v>244304.28000000003</v>
          </cell>
        </row>
        <row r="2165">
          <cell r="J2165">
            <v>242104.28000000003</v>
          </cell>
        </row>
        <row r="2166">
          <cell r="J2166">
            <v>239904.28000000003</v>
          </cell>
        </row>
        <row r="2167">
          <cell r="J2167">
            <v>234404.28000000003</v>
          </cell>
        </row>
        <row r="2168">
          <cell r="J2168">
            <v>239404.28000000003</v>
          </cell>
        </row>
        <row r="2169">
          <cell r="J2169">
            <v>236104.28000000003</v>
          </cell>
        </row>
        <row r="2170">
          <cell r="J2170">
            <v>233904.28000000003</v>
          </cell>
        </row>
        <row r="2171">
          <cell r="J2171">
            <v>230604.28000000003</v>
          </cell>
        </row>
        <row r="2172">
          <cell r="J2172">
            <v>233604.28000000003</v>
          </cell>
        </row>
        <row r="2173">
          <cell r="J2173">
            <v>234604.28000000003</v>
          </cell>
        </row>
        <row r="2174">
          <cell r="J2174">
            <v>239604.28000000003</v>
          </cell>
        </row>
        <row r="2175">
          <cell r="J2175">
            <v>237404.28000000003</v>
          </cell>
        </row>
        <row r="2176">
          <cell r="J2176">
            <v>240404.28000000003</v>
          </cell>
        </row>
        <row r="2177">
          <cell r="J2177">
            <v>243404.28000000003</v>
          </cell>
        </row>
        <row r="2178">
          <cell r="J2178">
            <v>248404.28000000003</v>
          </cell>
        </row>
        <row r="2179">
          <cell r="J2179">
            <v>245104.28000000003</v>
          </cell>
        </row>
        <row r="2180">
          <cell r="J2180">
            <v>248104.28000000003</v>
          </cell>
        </row>
        <row r="2181">
          <cell r="J2181">
            <v>251104.28000000003</v>
          </cell>
        </row>
        <row r="2182">
          <cell r="J2182">
            <v>248604.28000000003</v>
          </cell>
        </row>
        <row r="2183">
          <cell r="J2183">
            <v>243104.28000000003</v>
          </cell>
        </row>
        <row r="2184">
          <cell r="J2184">
            <v>247004.28000000003</v>
          </cell>
        </row>
        <row r="2185">
          <cell r="J2185">
            <v>251004.28000000003</v>
          </cell>
        </row>
        <row r="2186">
          <cell r="J2186">
            <v>253079.28000000003</v>
          </cell>
        </row>
        <row r="2187">
          <cell r="J2187">
            <v>254079.28000000003</v>
          </cell>
        </row>
        <row r="2188">
          <cell r="J2188">
            <v>251879.28000000003</v>
          </cell>
        </row>
        <row r="2189">
          <cell r="J2189">
            <v>254879.28000000003</v>
          </cell>
        </row>
        <row r="2190">
          <cell r="J2190">
            <v>253879.28000000003</v>
          </cell>
        </row>
        <row r="2191">
          <cell r="J2191">
            <v>256879.28000000003</v>
          </cell>
        </row>
        <row r="2192">
          <cell r="J2192">
            <v>263754.28000000003</v>
          </cell>
        </row>
        <row r="2193">
          <cell r="J2193">
            <v>266754.28000000003</v>
          </cell>
        </row>
        <row r="2194">
          <cell r="J2194">
            <v>268754.28000000003</v>
          </cell>
        </row>
        <row r="2195">
          <cell r="J2195">
            <v>270754.28000000003</v>
          </cell>
        </row>
        <row r="2196">
          <cell r="J2196">
            <v>267454.28000000003</v>
          </cell>
        </row>
        <row r="2197">
          <cell r="J2197">
            <v>268454.28000000003</v>
          </cell>
        </row>
        <row r="2198">
          <cell r="J2198">
            <v>265154.28000000003</v>
          </cell>
        </row>
        <row r="2199">
          <cell r="J2199">
            <v>259654.28000000003</v>
          </cell>
        </row>
        <row r="2200">
          <cell r="J2200">
            <v>255254.28000000003</v>
          </cell>
        </row>
        <row r="2201">
          <cell r="J2201">
            <v>259129.28000000003</v>
          </cell>
        </row>
        <row r="2202">
          <cell r="J2202">
            <v>262129.28000000003</v>
          </cell>
        </row>
        <row r="2203">
          <cell r="J2203">
            <v>259929.28000000003</v>
          </cell>
        </row>
        <row r="2204">
          <cell r="J2204">
            <v>256629.28000000003</v>
          </cell>
        </row>
        <row r="2205">
          <cell r="J2205">
            <v>254429.28000000003</v>
          </cell>
        </row>
        <row r="2206">
          <cell r="J2206">
            <v>254179.28000000003</v>
          </cell>
        </row>
        <row r="2207">
          <cell r="J2207">
            <v>259954.28000000003</v>
          </cell>
        </row>
        <row r="2208">
          <cell r="J2208">
            <v>257454.28000000003</v>
          </cell>
        </row>
        <row r="2209">
          <cell r="J2209">
            <v>254954.28000000003</v>
          </cell>
        </row>
        <row r="2210">
          <cell r="J2210">
            <v>256693.28000000003</v>
          </cell>
        </row>
        <row r="2211">
          <cell r="J2211">
            <v>258693.28000000003</v>
          </cell>
        </row>
        <row r="2212">
          <cell r="J2212">
            <v>253193.28000000003</v>
          </cell>
        </row>
        <row r="2213">
          <cell r="J2213">
            <v>248793.28000000003</v>
          </cell>
        </row>
        <row r="2214">
          <cell r="J2214">
            <v>245793.28000000003</v>
          </cell>
        </row>
        <row r="2215">
          <cell r="J2215">
            <v>242493.28000000003</v>
          </cell>
        </row>
        <row r="2216">
          <cell r="J2216">
            <v>240293.28000000003</v>
          </cell>
        </row>
        <row r="2217">
          <cell r="J2217">
            <v>244293.28000000003</v>
          </cell>
        </row>
        <row r="2218">
          <cell r="J2218">
            <v>241293.28000000003</v>
          </cell>
        </row>
        <row r="2219">
          <cell r="J2219">
            <v>242341.28000000003</v>
          </cell>
        </row>
        <row r="2220">
          <cell r="J2220">
            <v>240341.28000000003</v>
          </cell>
        </row>
        <row r="2221">
          <cell r="J2221">
            <v>238141.28000000003</v>
          </cell>
        </row>
        <row r="2222">
          <cell r="J2222">
            <v>237141.28000000003</v>
          </cell>
        </row>
        <row r="2223">
          <cell r="J2223">
            <v>233841.28000000003</v>
          </cell>
        </row>
        <row r="2224">
          <cell r="J2224">
            <v>233841.28000000003</v>
          </cell>
        </row>
        <row r="2225">
          <cell r="J2225">
            <v>236841.28000000003</v>
          </cell>
        </row>
        <row r="2226">
          <cell r="J2226">
            <v>231341.28000000003</v>
          </cell>
        </row>
        <row r="2227">
          <cell r="J2227">
            <v>235341.28000000003</v>
          </cell>
        </row>
        <row r="2228">
          <cell r="J2228">
            <v>237341.28000000003</v>
          </cell>
        </row>
        <row r="2229">
          <cell r="J2229">
            <v>243941.28000000003</v>
          </cell>
        </row>
        <row r="2230">
          <cell r="J2230">
            <v>240941.28000000003</v>
          </cell>
        </row>
        <row r="2231">
          <cell r="J2231">
            <v>238741.28000000003</v>
          </cell>
        </row>
        <row r="2232">
          <cell r="J2232">
            <v>241741.28000000003</v>
          </cell>
        </row>
        <row r="2233">
          <cell r="J2233">
            <v>244741.28000000003</v>
          </cell>
        </row>
        <row r="2234">
          <cell r="J2234">
            <v>243641.28000000003</v>
          </cell>
        </row>
        <row r="2235">
          <cell r="J2235">
            <v>238141.28000000003</v>
          </cell>
        </row>
        <row r="2236">
          <cell r="J2236">
            <v>241141.28000000003</v>
          </cell>
        </row>
        <row r="2237">
          <cell r="J2237">
            <v>236741.28000000003</v>
          </cell>
        </row>
        <row r="2238">
          <cell r="J2238">
            <v>238741.28000000003</v>
          </cell>
        </row>
        <row r="2239">
          <cell r="J2239">
            <v>245141.28000000003</v>
          </cell>
        </row>
        <row r="2240">
          <cell r="J2240">
            <v>243641.28000000003</v>
          </cell>
        </row>
        <row r="2241">
          <cell r="J2241">
            <v>240341.28000000003</v>
          </cell>
        </row>
        <row r="2242">
          <cell r="J2242">
            <v>234841.28000000003</v>
          </cell>
        </row>
        <row r="2243">
          <cell r="J2243">
            <v>236841.28000000003</v>
          </cell>
        </row>
        <row r="2244">
          <cell r="J2244">
            <v>234841.28000000003</v>
          </cell>
        </row>
        <row r="2245">
          <cell r="J2245">
            <v>232641.28000000003</v>
          </cell>
        </row>
        <row r="2246">
          <cell r="J2246">
            <v>228241.28000000003</v>
          </cell>
        </row>
        <row r="2247">
          <cell r="J2247">
            <v>223841.28000000003</v>
          </cell>
        </row>
        <row r="2248">
          <cell r="J2248">
            <v>220541.28000000003</v>
          </cell>
        </row>
        <row r="2249">
          <cell r="J2249">
            <v>215541.28000000003</v>
          </cell>
        </row>
        <row r="2250">
          <cell r="J2250">
            <v>212241.28000000003</v>
          </cell>
        </row>
        <row r="2251">
          <cell r="J2251">
            <v>211241.28000000003</v>
          </cell>
        </row>
        <row r="2252">
          <cell r="J2252">
            <v>213241.28000000003</v>
          </cell>
        </row>
        <row r="2253">
          <cell r="J2253">
            <v>215241.28000000003</v>
          </cell>
        </row>
        <row r="2254">
          <cell r="J2254">
            <v>219241.28000000003</v>
          </cell>
        </row>
        <row r="2255">
          <cell r="J2255">
            <v>222241.28000000003</v>
          </cell>
        </row>
        <row r="2256">
          <cell r="J2256">
            <v>225891.28000000003</v>
          </cell>
        </row>
        <row r="2257">
          <cell r="J2257">
            <v>222591.28000000003</v>
          </cell>
        </row>
        <row r="2258">
          <cell r="J2258">
            <v>223841.28000000003</v>
          </cell>
        </row>
        <row r="2259">
          <cell r="J2259">
            <v>228841.28000000003</v>
          </cell>
        </row>
        <row r="2260">
          <cell r="J2260">
            <v>224441.28000000003</v>
          </cell>
        </row>
        <row r="2261">
          <cell r="J2261">
            <v>226441.28000000003</v>
          </cell>
        </row>
        <row r="2262">
          <cell r="J2262">
            <v>230991.28000000003</v>
          </cell>
        </row>
        <row r="2263">
          <cell r="J2263">
            <v>229891.28000000003</v>
          </cell>
        </row>
        <row r="2264">
          <cell r="J2264">
            <v>232891.28000000003</v>
          </cell>
        </row>
        <row r="2265">
          <cell r="J2265">
            <v>237239.28000000003</v>
          </cell>
        </row>
        <row r="2266">
          <cell r="J2266">
            <v>240239.28000000003</v>
          </cell>
        </row>
        <row r="2267">
          <cell r="J2267">
            <v>236939.28000000003</v>
          </cell>
        </row>
        <row r="2268">
          <cell r="J2268">
            <v>234939.28000000003</v>
          </cell>
        </row>
        <row r="2269">
          <cell r="J2269">
            <v>236939.28000000003</v>
          </cell>
        </row>
        <row r="2270">
          <cell r="J2270">
            <v>241939.28000000003</v>
          </cell>
        </row>
        <row r="2271">
          <cell r="J2271">
            <v>254314.28000000003</v>
          </cell>
        </row>
        <row r="2272">
          <cell r="J2272">
            <v>251814.28000000003</v>
          </cell>
        </row>
        <row r="2273">
          <cell r="J2273">
            <v>259514.28000000003</v>
          </cell>
        </row>
        <row r="2274">
          <cell r="J2274">
            <v>261514.28000000003</v>
          </cell>
        </row>
        <row r="2275">
          <cell r="J2275">
            <v>258514.28000000003</v>
          </cell>
        </row>
        <row r="2276">
          <cell r="J2276">
            <v>262514.28000000003</v>
          </cell>
        </row>
        <row r="2277">
          <cell r="J2277">
            <v>260314.28000000003</v>
          </cell>
        </row>
        <row r="2278">
          <cell r="J2278">
            <v>258114.28000000003</v>
          </cell>
        </row>
        <row r="2279">
          <cell r="J2279">
            <v>264714.28000000003</v>
          </cell>
        </row>
        <row r="2280">
          <cell r="J2280">
            <v>262714.28000000003</v>
          </cell>
        </row>
        <row r="2281">
          <cell r="J2281">
            <v>264714.28000000003</v>
          </cell>
        </row>
        <row r="2282">
          <cell r="J2282">
            <v>269714.28000000003</v>
          </cell>
        </row>
        <row r="2283">
          <cell r="J2283">
            <v>267514.28000000003</v>
          </cell>
        </row>
        <row r="2284">
          <cell r="J2284">
            <v>270514.28000000003</v>
          </cell>
        </row>
        <row r="2285">
          <cell r="J2285">
            <v>273514.28000000003</v>
          </cell>
        </row>
        <row r="2286">
          <cell r="J2286">
            <v>271314.28000000003</v>
          </cell>
        </row>
        <row r="2287">
          <cell r="J2287">
            <v>269114.28000000003</v>
          </cell>
        </row>
        <row r="2288">
          <cell r="J2288">
            <v>273114.28000000003</v>
          </cell>
        </row>
        <row r="2289">
          <cell r="J2289">
            <v>269814.28000000003</v>
          </cell>
        </row>
        <row r="2290">
          <cell r="J2290">
            <v>267314.28000000003</v>
          </cell>
        </row>
        <row r="2291">
          <cell r="J2291">
            <v>270314.28000000003</v>
          </cell>
        </row>
        <row r="2292">
          <cell r="J2292">
            <v>275314.28000000003</v>
          </cell>
        </row>
        <row r="2293">
          <cell r="J2293">
            <v>280314.28000000003</v>
          </cell>
        </row>
        <row r="2294">
          <cell r="J2294">
            <v>278114.28000000003</v>
          </cell>
        </row>
        <row r="2295">
          <cell r="J2295">
            <v>274814.28000000003</v>
          </cell>
        </row>
        <row r="2296">
          <cell r="J2296">
            <v>279814.28000000003</v>
          </cell>
        </row>
        <row r="2297">
          <cell r="J2297">
            <v>288564.28000000003</v>
          </cell>
        </row>
        <row r="2298">
          <cell r="J2298">
            <v>293564.28000000003</v>
          </cell>
        </row>
        <row r="2299">
          <cell r="J2299">
            <v>290264.28000000003</v>
          </cell>
        </row>
        <row r="2300">
          <cell r="J2300">
            <v>288064.28000000003</v>
          </cell>
        </row>
        <row r="2301">
          <cell r="J2301">
            <v>293064.28000000003</v>
          </cell>
        </row>
        <row r="2302">
          <cell r="J2302">
            <v>288664.28000000003</v>
          </cell>
        </row>
        <row r="2303">
          <cell r="J2303">
            <v>291664.28000000003</v>
          </cell>
        </row>
        <row r="2304">
          <cell r="J2304">
            <v>294664.28000000003</v>
          </cell>
        </row>
        <row r="2305">
          <cell r="J2305">
            <v>292664.28000000003</v>
          </cell>
        </row>
        <row r="2306">
          <cell r="J2306">
            <v>297664.28000000003</v>
          </cell>
        </row>
        <row r="2307">
          <cell r="J2307">
            <v>304814.28000000003</v>
          </cell>
        </row>
        <row r="2308">
          <cell r="J2308">
            <v>306814.28000000003</v>
          </cell>
        </row>
        <row r="2309">
          <cell r="J2309">
            <v>304814.28000000003</v>
          </cell>
        </row>
        <row r="2310">
          <cell r="J2310">
            <v>307214.28000000003</v>
          </cell>
        </row>
        <row r="2311">
          <cell r="J2311">
            <v>310214.28000000003</v>
          </cell>
        </row>
        <row r="2312">
          <cell r="J2312">
            <v>308214.28000000003</v>
          </cell>
        </row>
        <row r="2313">
          <cell r="J2313">
            <v>313214.28000000003</v>
          </cell>
        </row>
        <row r="2314">
          <cell r="J2314">
            <v>313214.28000000003</v>
          </cell>
        </row>
        <row r="2315">
          <cell r="J2315">
            <v>316214.28000000003</v>
          </cell>
        </row>
        <row r="2316">
          <cell r="J2316">
            <v>310714.28000000003</v>
          </cell>
        </row>
        <row r="2317">
          <cell r="J2317">
            <v>313714.28000000003</v>
          </cell>
        </row>
        <row r="2318">
          <cell r="J2318">
            <v>308214.28000000003</v>
          </cell>
        </row>
        <row r="2319">
          <cell r="J2319">
            <v>313214.28000000003</v>
          </cell>
        </row>
        <row r="2320">
          <cell r="J2320">
            <v>311014.28000000003</v>
          </cell>
        </row>
        <row r="2321">
          <cell r="J2321">
            <v>316014.28000000003</v>
          </cell>
        </row>
        <row r="2322">
          <cell r="J2322">
            <v>312714.28000000003</v>
          </cell>
        </row>
        <row r="2323">
          <cell r="J2323">
            <v>322339.28000000003</v>
          </cell>
        </row>
        <row r="2324">
          <cell r="J2324">
            <v>320139.28000000003</v>
          </cell>
        </row>
        <row r="2325">
          <cell r="J2325">
            <v>314639.28000000003</v>
          </cell>
        </row>
        <row r="2326">
          <cell r="J2326">
            <v>316639.28000000003</v>
          </cell>
        </row>
        <row r="2327">
          <cell r="J2327">
            <v>321877.28000000003</v>
          </cell>
        </row>
        <row r="2328">
          <cell r="J2328">
            <v>317877.28000000003</v>
          </cell>
        </row>
        <row r="2329">
          <cell r="J2329">
            <v>314577.28000000003</v>
          </cell>
        </row>
        <row r="2330">
          <cell r="J2330">
            <v>312377.28000000003</v>
          </cell>
        </row>
        <row r="2331">
          <cell r="J2331">
            <v>310177.28000000003</v>
          </cell>
        </row>
        <row r="2332">
          <cell r="J2332">
            <v>313177.28000000003</v>
          </cell>
        </row>
        <row r="2333">
          <cell r="J2333">
            <v>307677.28000000003</v>
          </cell>
        </row>
        <row r="2334">
          <cell r="J2334">
            <v>309677.28000000003</v>
          </cell>
        </row>
        <row r="2335">
          <cell r="J2335">
            <v>312677.28000000003</v>
          </cell>
        </row>
        <row r="2336">
          <cell r="J2336">
            <v>316677.28000000003</v>
          </cell>
        </row>
        <row r="2337">
          <cell r="J2337">
            <v>317677.28000000003</v>
          </cell>
        </row>
        <row r="2338">
          <cell r="J2338">
            <v>320677.28000000003</v>
          </cell>
        </row>
        <row r="2339">
          <cell r="J2339">
            <v>322677.28000000003</v>
          </cell>
        </row>
        <row r="2340">
          <cell r="J2340">
            <v>323677.28000000003</v>
          </cell>
        </row>
        <row r="2341">
          <cell r="J2341">
            <v>319277.28000000003</v>
          </cell>
        </row>
        <row r="2342">
          <cell r="J2342">
            <v>317077.28000000003</v>
          </cell>
        </row>
        <row r="2343">
          <cell r="J2343">
            <v>313777.28000000003</v>
          </cell>
        </row>
        <row r="2344">
          <cell r="J2344">
            <v>315777.28000000003</v>
          </cell>
        </row>
        <row r="2345">
          <cell r="J2345">
            <v>320777.28000000003</v>
          </cell>
        </row>
        <row r="2346">
          <cell r="J2346">
            <v>318277.28000000003</v>
          </cell>
        </row>
        <row r="2347">
          <cell r="J2347">
            <v>321277.28000000003</v>
          </cell>
        </row>
        <row r="2348">
          <cell r="J2348">
            <v>319077.28000000003</v>
          </cell>
        </row>
        <row r="2349">
          <cell r="J2349">
            <v>313577.28000000003</v>
          </cell>
        </row>
        <row r="2350">
          <cell r="J2350">
            <v>311377.28000000003</v>
          </cell>
        </row>
        <row r="2351">
          <cell r="J2351">
            <v>308077.28000000003</v>
          </cell>
        </row>
        <row r="2352">
          <cell r="J2352">
            <v>304777.28000000003</v>
          </cell>
        </row>
        <row r="2353">
          <cell r="J2353">
            <v>306777.28000000003</v>
          </cell>
        </row>
        <row r="2354">
          <cell r="J2354">
            <v>301277.28000000003</v>
          </cell>
        </row>
        <row r="2355">
          <cell r="J2355">
            <v>303277.28000000003</v>
          </cell>
        </row>
        <row r="2356">
          <cell r="J2356">
            <v>298877.28000000003</v>
          </cell>
        </row>
        <row r="2357">
          <cell r="J2357">
            <v>304502.28000000003</v>
          </cell>
        </row>
        <row r="2358">
          <cell r="J2358">
            <v>302302.28000000003</v>
          </cell>
        </row>
        <row r="2359">
          <cell r="J2359">
            <v>304302.28000000003</v>
          </cell>
        </row>
        <row r="2360">
          <cell r="J2360">
            <v>305302.28000000003</v>
          </cell>
        </row>
        <row r="2361">
          <cell r="J2361">
            <v>310302.28000000003</v>
          </cell>
        </row>
        <row r="2362">
          <cell r="J2362">
            <v>307002.28000000003</v>
          </cell>
        </row>
        <row r="2363">
          <cell r="J2363">
            <v>309002.28000000003</v>
          </cell>
        </row>
        <row r="2364">
          <cell r="J2364">
            <v>305702.28000000003</v>
          </cell>
        </row>
        <row r="2365">
          <cell r="J2365">
            <v>303502.28000000003</v>
          </cell>
        </row>
        <row r="2366">
          <cell r="J2366">
            <v>306502.28000000003</v>
          </cell>
        </row>
        <row r="2367">
          <cell r="J2367">
            <v>310348.28000000003</v>
          </cell>
        </row>
        <row r="2368">
          <cell r="J2368">
            <v>308148.28000000003</v>
          </cell>
        </row>
        <row r="2369">
          <cell r="J2369">
            <v>313648.28000000003</v>
          </cell>
        </row>
        <row r="2370">
          <cell r="J2370">
            <v>316648.28000000003</v>
          </cell>
        </row>
        <row r="2371">
          <cell r="J2371">
            <v>313348.28000000003</v>
          </cell>
        </row>
        <row r="2372">
          <cell r="J2372">
            <v>314348.28000000003</v>
          </cell>
        </row>
        <row r="2373">
          <cell r="J2373">
            <v>309948.28000000003</v>
          </cell>
        </row>
        <row r="2374">
          <cell r="J2374">
            <v>307448.28000000003</v>
          </cell>
        </row>
        <row r="2375">
          <cell r="J2375">
            <v>310448.28000000003</v>
          </cell>
        </row>
        <row r="2376">
          <cell r="J2376">
            <v>315448.28000000003</v>
          </cell>
        </row>
        <row r="2377">
          <cell r="J2377">
            <v>318448.28000000003</v>
          </cell>
        </row>
        <row r="2378">
          <cell r="J2378">
            <v>322648.28000000003</v>
          </cell>
        </row>
        <row r="2379">
          <cell r="J2379">
            <v>320448.28000000003</v>
          </cell>
        </row>
        <row r="2380">
          <cell r="J2380">
            <v>317148.28000000003</v>
          </cell>
        </row>
        <row r="2381">
          <cell r="J2381">
            <v>314148.28000000003</v>
          </cell>
        </row>
        <row r="2382">
          <cell r="J2382">
            <v>309748.28000000003</v>
          </cell>
        </row>
        <row r="2383">
          <cell r="J2383">
            <v>314748.28000000003</v>
          </cell>
        </row>
        <row r="2384">
          <cell r="J2384">
            <v>313648.28000000003</v>
          </cell>
        </row>
        <row r="2385">
          <cell r="J2385">
            <v>317648.28000000003</v>
          </cell>
        </row>
        <row r="2386">
          <cell r="J2386">
            <v>320648.28000000003</v>
          </cell>
        </row>
        <row r="2387">
          <cell r="J2387">
            <v>322648.28000000003</v>
          </cell>
        </row>
        <row r="2388">
          <cell r="J2388">
            <v>319148.28000000003</v>
          </cell>
        </row>
        <row r="2389">
          <cell r="J2389">
            <v>316948.28000000003</v>
          </cell>
        </row>
        <row r="2390">
          <cell r="J2390">
            <v>318948.28000000003</v>
          </cell>
        </row>
        <row r="2391">
          <cell r="J2391">
            <v>321556.98000000004</v>
          </cell>
        </row>
        <row r="2392">
          <cell r="J2392">
            <v>316056.98000000004</v>
          </cell>
        </row>
        <row r="2393">
          <cell r="J2393">
            <v>313056.98000000004</v>
          </cell>
        </row>
        <row r="2394">
          <cell r="J2394">
            <v>316056.98000000004</v>
          </cell>
        </row>
        <row r="2395">
          <cell r="J2395">
            <v>312756.98000000004</v>
          </cell>
        </row>
        <row r="2396">
          <cell r="J2396">
            <v>311656.98000000004</v>
          </cell>
        </row>
        <row r="2397">
          <cell r="J2397">
            <v>309656.98000000004</v>
          </cell>
        </row>
        <row r="2398">
          <cell r="J2398">
            <v>311656.98000000004</v>
          </cell>
        </row>
        <row r="2399">
          <cell r="J2399">
            <v>314656.98000000004</v>
          </cell>
        </row>
        <row r="2400">
          <cell r="J2400">
            <v>312456.98000000004</v>
          </cell>
        </row>
        <row r="2401">
          <cell r="J2401">
            <v>316456.98000000004</v>
          </cell>
        </row>
        <row r="2402">
          <cell r="J2402">
            <v>314256.98000000004</v>
          </cell>
        </row>
        <row r="2403">
          <cell r="J2403">
            <v>312056.98000000004</v>
          </cell>
        </row>
        <row r="2404">
          <cell r="J2404">
            <v>306556.98000000004</v>
          </cell>
        </row>
        <row r="2405">
          <cell r="J2405">
            <v>303256.98000000004</v>
          </cell>
        </row>
        <row r="2406">
          <cell r="J2406">
            <v>306256.98000000004</v>
          </cell>
        </row>
        <row r="2407">
          <cell r="J2407">
            <v>310839.98000000004</v>
          </cell>
        </row>
        <row r="2408">
          <cell r="J2408">
            <v>313839.98000000004</v>
          </cell>
        </row>
        <row r="2409">
          <cell r="J2409">
            <v>317172.98000000004</v>
          </cell>
        </row>
        <row r="2410">
          <cell r="J2410">
            <v>320172.98000000004</v>
          </cell>
        </row>
        <row r="2411">
          <cell r="J2411">
            <v>316872.98000000004</v>
          </cell>
        </row>
        <row r="2412">
          <cell r="J2412">
            <v>313572.98000000004</v>
          </cell>
        </row>
        <row r="2413">
          <cell r="J2413">
            <v>308072.98000000004</v>
          </cell>
        </row>
        <row r="2414">
          <cell r="J2414">
            <v>311072.98000000004</v>
          </cell>
        </row>
        <row r="2415">
          <cell r="J2415">
            <v>307772.98000000004</v>
          </cell>
        </row>
        <row r="2416">
          <cell r="J2416">
            <v>306672.98000000004</v>
          </cell>
        </row>
        <row r="2417">
          <cell r="J2417">
            <v>301172.98000000004</v>
          </cell>
        </row>
        <row r="2418">
          <cell r="J2418">
            <v>304172.98000000004</v>
          </cell>
        </row>
        <row r="2419">
          <cell r="J2419">
            <v>307172.98000000004</v>
          </cell>
        </row>
        <row r="2420">
          <cell r="J2420">
            <v>302772.98000000004</v>
          </cell>
        </row>
        <row r="2421">
          <cell r="J2421">
            <v>304772.98000000004</v>
          </cell>
        </row>
        <row r="2422">
          <cell r="J2422">
            <v>307153.93000000005</v>
          </cell>
        </row>
        <row r="2423">
          <cell r="J2423">
            <v>308153.93000000005</v>
          </cell>
        </row>
        <row r="2424">
          <cell r="J2424">
            <v>312153.93000000005</v>
          </cell>
        </row>
        <row r="2425">
          <cell r="J2425">
            <v>314153.93000000005</v>
          </cell>
        </row>
        <row r="2426">
          <cell r="J2426">
            <v>311653.93000000005</v>
          </cell>
        </row>
        <row r="2427">
          <cell r="J2427">
            <v>314153.93000000005</v>
          </cell>
        </row>
        <row r="2428">
          <cell r="J2428">
            <v>308653.93000000005</v>
          </cell>
        </row>
        <row r="2429">
          <cell r="J2429">
            <v>313653.93000000005</v>
          </cell>
        </row>
        <row r="2430">
          <cell r="J2430">
            <v>309353.93000000005</v>
          </cell>
        </row>
        <row r="2431">
          <cell r="J2431">
            <v>307153.93000000005</v>
          </cell>
        </row>
        <row r="2432">
          <cell r="J2432">
            <v>304953.93000000005</v>
          </cell>
        </row>
        <row r="2433">
          <cell r="J2433">
            <v>301653.93000000005</v>
          </cell>
        </row>
        <row r="2434">
          <cell r="J2434">
            <v>298353.93000000005</v>
          </cell>
        </row>
        <row r="2435">
          <cell r="J2435">
            <v>300353.93000000005</v>
          </cell>
        </row>
        <row r="2436">
          <cell r="J2436">
            <v>298353.93000000005</v>
          </cell>
        </row>
        <row r="2437">
          <cell r="J2437">
            <v>299353.93000000005</v>
          </cell>
        </row>
        <row r="2438">
          <cell r="J2438">
            <v>296053.93000000005</v>
          </cell>
        </row>
        <row r="2439">
          <cell r="J2439">
            <v>291653.93000000005</v>
          </cell>
        </row>
        <row r="2440">
          <cell r="J2440">
            <v>294653.93000000005</v>
          </cell>
        </row>
        <row r="2441">
          <cell r="J2441">
            <v>294653.93000000005</v>
          </cell>
        </row>
        <row r="2442">
          <cell r="J2442">
            <v>291353.93000000005</v>
          </cell>
        </row>
        <row r="2443">
          <cell r="J2443">
            <v>289153.93000000005</v>
          </cell>
        </row>
        <row r="2444">
          <cell r="J2444">
            <v>283653.93000000005</v>
          </cell>
        </row>
        <row r="2445">
          <cell r="J2445">
            <v>278153.93000000005</v>
          </cell>
        </row>
        <row r="2446">
          <cell r="J2446">
            <v>281153.93000000005</v>
          </cell>
        </row>
        <row r="2447">
          <cell r="J2447">
            <v>282153.93000000005</v>
          </cell>
        </row>
        <row r="2448">
          <cell r="J2448">
            <v>279153.93000000005</v>
          </cell>
        </row>
        <row r="2449">
          <cell r="J2449">
            <v>274853.93000000005</v>
          </cell>
        </row>
        <row r="2450">
          <cell r="J2450">
            <v>279044.41000000003</v>
          </cell>
        </row>
        <row r="2451">
          <cell r="J2451">
            <v>280794.41000000003</v>
          </cell>
        </row>
        <row r="2452">
          <cell r="J2452">
            <v>286569.41000000003</v>
          </cell>
        </row>
        <row r="2453">
          <cell r="J2453">
            <v>282169.41000000003</v>
          </cell>
        </row>
        <row r="2454">
          <cell r="J2454">
            <v>279169.41000000003</v>
          </cell>
        </row>
        <row r="2455">
          <cell r="J2455">
            <v>275869.41000000003</v>
          </cell>
        </row>
        <row r="2456">
          <cell r="J2456">
            <v>270369.41000000003</v>
          </cell>
        </row>
        <row r="2457">
          <cell r="J2457">
            <v>273238.41000000003</v>
          </cell>
        </row>
        <row r="2458">
          <cell r="J2458">
            <v>269938.41000000003</v>
          </cell>
        </row>
        <row r="2459">
          <cell r="J2459">
            <v>266938.41000000003</v>
          </cell>
        </row>
        <row r="2460">
          <cell r="J2460">
            <v>264738.41000000003</v>
          </cell>
        </row>
        <row r="2461">
          <cell r="J2461">
            <v>266738.41000000003</v>
          </cell>
        </row>
        <row r="2462">
          <cell r="J2462">
            <v>265638.41000000003</v>
          </cell>
        </row>
        <row r="2463">
          <cell r="J2463">
            <v>262338.41000000003</v>
          </cell>
        </row>
        <row r="2464">
          <cell r="J2464">
            <v>261238.41000000003</v>
          </cell>
        </row>
        <row r="2465">
          <cell r="J2465">
            <v>263238.41000000003</v>
          </cell>
        </row>
        <row r="2466">
          <cell r="J2466">
            <v>266838.41000000003</v>
          </cell>
        </row>
        <row r="2467">
          <cell r="J2467">
            <v>261338.41000000003</v>
          </cell>
        </row>
        <row r="2468">
          <cell r="J2468">
            <v>267238.41000000003</v>
          </cell>
        </row>
        <row r="2469">
          <cell r="J2469">
            <v>265038.41000000003</v>
          </cell>
        </row>
        <row r="2470">
          <cell r="J2470">
            <v>261738.41000000003</v>
          </cell>
        </row>
        <row r="2471">
          <cell r="J2471">
            <v>265738.41000000003</v>
          </cell>
        </row>
        <row r="2472">
          <cell r="J2472">
            <v>263538.41000000003</v>
          </cell>
        </row>
        <row r="2473">
          <cell r="J2473">
            <v>258038.41000000003</v>
          </cell>
        </row>
        <row r="2474">
          <cell r="J2474">
            <v>254738.41000000003</v>
          </cell>
        </row>
        <row r="2475">
          <cell r="J2475">
            <v>252738.41000000003</v>
          </cell>
        </row>
        <row r="2476">
          <cell r="J2476">
            <v>254738.41000000003</v>
          </cell>
        </row>
        <row r="2477">
          <cell r="J2477">
            <v>252238.41000000003</v>
          </cell>
        </row>
        <row r="2478">
          <cell r="J2478">
            <v>247938.41000000003</v>
          </cell>
        </row>
        <row r="2479">
          <cell r="J2479">
            <v>243538.41000000003</v>
          </cell>
        </row>
        <row r="2480">
          <cell r="J2480">
            <v>246538.41000000003</v>
          </cell>
        </row>
        <row r="2481">
          <cell r="J2481">
            <v>249538.41000000003</v>
          </cell>
        </row>
        <row r="2482">
          <cell r="J2482">
            <v>252538.41000000003</v>
          </cell>
        </row>
        <row r="2483">
          <cell r="J2483">
            <v>260038.41000000003</v>
          </cell>
        </row>
        <row r="2484">
          <cell r="J2484">
            <v>261288.41000000003</v>
          </cell>
        </row>
        <row r="2485">
          <cell r="J2485">
            <v>259288.41000000003</v>
          </cell>
        </row>
        <row r="2486">
          <cell r="J2486">
            <v>262288.41000000003</v>
          </cell>
        </row>
        <row r="2487">
          <cell r="J2487">
            <v>257888.41000000003</v>
          </cell>
        </row>
        <row r="2488">
          <cell r="J2488">
            <v>260888.41000000003</v>
          </cell>
        </row>
        <row r="2489">
          <cell r="J2489">
            <v>255388.41000000003</v>
          </cell>
        </row>
        <row r="2490">
          <cell r="J2490">
            <v>250988.41000000003</v>
          </cell>
        </row>
        <row r="2491">
          <cell r="J2491">
            <v>247988.41000000003</v>
          </cell>
        </row>
        <row r="2492">
          <cell r="J2492">
            <v>244688.41000000003</v>
          </cell>
        </row>
        <row r="2493">
          <cell r="J2493">
            <v>243588.41000000003</v>
          </cell>
        </row>
        <row r="2494">
          <cell r="J2494">
            <v>240288.41000000003</v>
          </cell>
        </row>
        <row r="2495">
          <cell r="J2495">
            <v>238088.41000000003</v>
          </cell>
        </row>
        <row r="2496">
          <cell r="J2496">
            <v>241088.41000000003</v>
          </cell>
        </row>
        <row r="2497">
          <cell r="J2497">
            <v>238888.41000000003</v>
          </cell>
        </row>
        <row r="2498">
          <cell r="J2498">
            <v>243508.41000000003</v>
          </cell>
        </row>
        <row r="2499">
          <cell r="J2499">
            <v>247417.41000000003</v>
          </cell>
        </row>
        <row r="2500">
          <cell r="J2500">
            <v>250417.41000000003</v>
          </cell>
        </row>
        <row r="2501">
          <cell r="J2501">
            <v>246017.41000000003</v>
          </cell>
        </row>
        <row r="2502">
          <cell r="J2502">
            <v>242717.41000000003</v>
          </cell>
        </row>
        <row r="2503">
          <cell r="J2503">
            <v>239417.41000000003</v>
          </cell>
        </row>
        <row r="2504">
          <cell r="J2504">
            <v>243417.41000000003</v>
          </cell>
        </row>
        <row r="2505">
          <cell r="J2505">
            <v>244417.41000000003</v>
          </cell>
        </row>
        <row r="2506">
          <cell r="J2506">
            <v>239917.41000000003</v>
          </cell>
        </row>
        <row r="2507">
          <cell r="J2507">
            <v>237917.41000000003</v>
          </cell>
        </row>
        <row r="2508">
          <cell r="J2508">
            <v>239917.41000000003</v>
          </cell>
        </row>
        <row r="2509">
          <cell r="J2509">
            <v>243917.41000000003</v>
          </cell>
        </row>
        <row r="2510">
          <cell r="J2510">
            <v>246917.41000000003</v>
          </cell>
        </row>
        <row r="2511">
          <cell r="J2511">
            <v>248917.41000000003</v>
          </cell>
        </row>
        <row r="2512">
          <cell r="J2512">
            <v>246917.41000000003</v>
          </cell>
        </row>
        <row r="2513">
          <cell r="J2513">
            <v>250667.41000000003</v>
          </cell>
        </row>
        <row r="2514">
          <cell r="J2514">
            <v>253667.41000000003</v>
          </cell>
        </row>
        <row r="2515">
          <cell r="J2515">
            <v>255667.41000000003</v>
          </cell>
        </row>
        <row r="2516">
          <cell r="J2516">
            <v>260667.41000000003</v>
          </cell>
        </row>
        <row r="2517">
          <cell r="J2517">
            <v>264303.77</v>
          </cell>
        </row>
        <row r="2518">
          <cell r="J2518">
            <v>271728.77</v>
          </cell>
        </row>
        <row r="2519">
          <cell r="J2519">
            <v>273728.77</v>
          </cell>
        </row>
        <row r="2520">
          <cell r="J2520">
            <v>270428.77</v>
          </cell>
        </row>
        <row r="2521">
          <cell r="J2521">
            <v>274478.77</v>
          </cell>
        </row>
        <row r="2522">
          <cell r="J2522">
            <v>280253.77</v>
          </cell>
        </row>
        <row r="2523">
          <cell r="J2523">
            <v>278253.77</v>
          </cell>
        </row>
        <row r="2524">
          <cell r="J2524">
            <v>274953.77</v>
          </cell>
        </row>
        <row r="2525">
          <cell r="J2525">
            <v>277953.77</v>
          </cell>
        </row>
        <row r="2526">
          <cell r="J2526">
            <v>282953.77</v>
          </cell>
        </row>
        <row r="2527">
          <cell r="J2527">
            <v>287453.77</v>
          </cell>
        </row>
        <row r="2528">
          <cell r="J2528">
            <v>281953.77</v>
          </cell>
        </row>
        <row r="2529">
          <cell r="J2529">
            <v>283953.77</v>
          </cell>
        </row>
        <row r="2530">
          <cell r="J2530">
            <v>280653.77</v>
          </cell>
        </row>
        <row r="2531">
          <cell r="J2531">
            <v>277353.77</v>
          </cell>
        </row>
        <row r="2532">
          <cell r="J2532">
            <v>272953.77</v>
          </cell>
        </row>
        <row r="2533">
          <cell r="J2533">
            <v>268953.77</v>
          </cell>
        </row>
        <row r="2534">
          <cell r="J2534">
            <v>263453.77</v>
          </cell>
        </row>
        <row r="2535">
          <cell r="J2535">
            <v>260453.77000000002</v>
          </cell>
        </row>
        <row r="2536">
          <cell r="J2536">
            <v>257153.77000000002</v>
          </cell>
        </row>
        <row r="2537">
          <cell r="J2537">
            <v>254953.77000000002</v>
          </cell>
        </row>
        <row r="2538">
          <cell r="J2538">
            <v>252953.77000000002</v>
          </cell>
        </row>
        <row r="2539">
          <cell r="J2539">
            <v>255953.77000000002</v>
          </cell>
        </row>
        <row r="2540">
          <cell r="J2540">
            <v>260953.77000000002</v>
          </cell>
        </row>
        <row r="2541">
          <cell r="J2541">
            <v>257653.77000000002</v>
          </cell>
        </row>
        <row r="2542">
          <cell r="J2542">
            <v>254353.77000000002</v>
          </cell>
        </row>
        <row r="2543">
          <cell r="J2543">
            <v>257353.77000000002</v>
          </cell>
        </row>
        <row r="2544">
          <cell r="J2544">
            <v>259353.77000000002</v>
          </cell>
        </row>
        <row r="2545">
          <cell r="J2545">
            <v>260353.77000000002</v>
          </cell>
        </row>
        <row r="2546">
          <cell r="J2546">
            <v>258153.77000000002</v>
          </cell>
        </row>
        <row r="2547">
          <cell r="J2547">
            <v>265963.77</v>
          </cell>
        </row>
        <row r="2548">
          <cell r="J2548">
            <v>269863.77</v>
          </cell>
        </row>
        <row r="2549">
          <cell r="J2549">
            <v>265463.77</v>
          </cell>
        </row>
        <row r="2550">
          <cell r="J2550">
            <v>268463.77</v>
          </cell>
        </row>
        <row r="2551">
          <cell r="J2551">
            <v>264963.77</v>
          </cell>
        </row>
        <row r="2552">
          <cell r="J2552">
            <v>269963.77</v>
          </cell>
        </row>
        <row r="2553">
          <cell r="J2553">
            <v>269963.77</v>
          </cell>
        </row>
        <row r="2554">
          <cell r="J2554">
            <v>266663.77</v>
          </cell>
        </row>
        <row r="2555">
          <cell r="J2555">
            <v>263363.77</v>
          </cell>
        </row>
        <row r="2556">
          <cell r="J2556">
            <v>269963.77</v>
          </cell>
        </row>
        <row r="2557">
          <cell r="J2557">
            <v>266963.77</v>
          </cell>
        </row>
        <row r="2558">
          <cell r="J2558">
            <v>264763.77</v>
          </cell>
        </row>
        <row r="2559">
          <cell r="J2559">
            <v>261463.77000000002</v>
          </cell>
        </row>
        <row r="2560">
          <cell r="J2560">
            <v>258463.77000000002</v>
          </cell>
        </row>
        <row r="2561">
          <cell r="J2561">
            <v>252963.77000000002</v>
          </cell>
        </row>
        <row r="2562">
          <cell r="J2562">
            <v>254963.77000000002</v>
          </cell>
        </row>
        <row r="2563">
          <cell r="J2563">
            <v>251663.77000000002</v>
          </cell>
        </row>
        <row r="2564">
          <cell r="J2564">
            <v>253838.77000000002</v>
          </cell>
        </row>
        <row r="2565">
          <cell r="J2565">
            <v>248338.77000000002</v>
          </cell>
        </row>
        <row r="2566">
          <cell r="J2566">
            <v>252338.77000000002</v>
          </cell>
        </row>
        <row r="2567">
          <cell r="J2567">
            <v>257338.77000000002</v>
          </cell>
        </row>
        <row r="2568">
          <cell r="J2568">
            <v>255138.77000000002</v>
          </cell>
        </row>
        <row r="2569">
          <cell r="J2569">
            <v>252938.77000000002</v>
          </cell>
        </row>
        <row r="2570">
          <cell r="J2570">
            <v>255938.77000000002</v>
          </cell>
        </row>
        <row r="2571">
          <cell r="J2571">
            <v>260938.77000000002</v>
          </cell>
        </row>
        <row r="2572">
          <cell r="J2572">
            <v>265938.77</v>
          </cell>
        </row>
        <row r="2573">
          <cell r="J2573">
            <v>267938.77</v>
          </cell>
        </row>
        <row r="2574">
          <cell r="J2574">
            <v>271938.77</v>
          </cell>
        </row>
        <row r="2575">
          <cell r="J2575">
            <v>271938.77</v>
          </cell>
        </row>
        <row r="2576">
          <cell r="J2576">
            <v>274938.77</v>
          </cell>
        </row>
        <row r="2577">
          <cell r="J2577">
            <v>280176.87</v>
          </cell>
        </row>
        <row r="2578">
          <cell r="J2578">
            <v>274676.87</v>
          </cell>
        </row>
        <row r="2579">
          <cell r="J2579">
            <v>272176.87</v>
          </cell>
        </row>
        <row r="2580">
          <cell r="J2580">
            <v>271076.87</v>
          </cell>
        </row>
        <row r="2581">
          <cell r="J2581">
            <v>273076.87</v>
          </cell>
        </row>
        <row r="2582">
          <cell r="J2582">
            <v>273076.87</v>
          </cell>
        </row>
        <row r="2583">
          <cell r="J2583">
            <v>275076.87</v>
          </cell>
        </row>
        <row r="2584">
          <cell r="J2584">
            <v>272876.87</v>
          </cell>
        </row>
        <row r="2585">
          <cell r="J2585">
            <v>273876.87</v>
          </cell>
        </row>
        <row r="2586">
          <cell r="J2586">
            <v>270576.87</v>
          </cell>
        </row>
        <row r="2587">
          <cell r="J2587">
            <v>265076.87</v>
          </cell>
        </row>
        <row r="2588">
          <cell r="J2588">
            <v>267076.87</v>
          </cell>
        </row>
        <row r="2589">
          <cell r="J2589">
            <v>265076.87</v>
          </cell>
        </row>
        <row r="2590">
          <cell r="J2590">
            <v>265076.87</v>
          </cell>
        </row>
        <row r="2591">
          <cell r="J2591">
            <v>261776.87</v>
          </cell>
        </row>
        <row r="2592">
          <cell r="J2592">
            <v>258476.87</v>
          </cell>
        </row>
        <row r="2593">
          <cell r="J2593">
            <v>256276.87</v>
          </cell>
        </row>
        <row r="2594">
          <cell r="J2594">
            <v>260276.87</v>
          </cell>
        </row>
        <row r="2595">
          <cell r="J2595">
            <v>258076.87</v>
          </cell>
        </row>
        <row r="2596">
          <cell r="J2596">
            <v>253676.87</v>
          </cell>
        </row>
        <row r="2597">
          <cell r="J2597">
            <v>251476.87</v>
          </cell>
        </row>
        <row r="2598">
          <cell r="J2598">
            <v>248176.87</v>
          </cell>
        </row>
        <row r="2599">
          <cell r="J2599">
            <v>245976.87</v>
          </cell>
        </row>
        <row r="2600">
          <cell r="J2600">
            <v>247976.87</v>
          </cell>
        </row>
        <row r="2601">
          <cell r="J2601">
            <v>248976.87</v>
          </cell>
        </row>
        <row r="2602">
          <cell r="J2602">
            <v>255631.87</v>
          </cell>
        </row>
        <row r="2603">
          <cell r="J2603">
            <v>258631.87</v>
          </cell>
        </row>
        <row r="2604">
          <cell r="J2604">
            <v>260941.87</v>
          </cell>
        </row>
        <row r="2605">
          <cell r="J2605">
            <v>258741.87</v>
          </cell>
        </row>
        <row r="2606">
          <cell r="J2606">
            <v>256541.87</v>
          </cell>
        </row>
        <row r="2607">
          <cell r="J2607">
            <v>259541.87</v>
          </cell>
        </row>
        <row r="2608">
          <cell r="J2608">
            <v>257341.87</v>
          </cell>
        </row>
        <row r="2609">
          <cell r="J2609">
            <v>259341.87</v>
          </cell>
        </row>
        <row r="2610">
          <cell r="J2610">
            <v>256041.87</v>
          </cell>
        </row>
        <row r="2611">
          <cell r="J2611">
            <v>257041.87</v>
          </cell>
        </row>
        <row r="2612">
          <cell r="J2612">
            <v>259041.87</v>
          </cell>
        </row>
        <row r="2613">
          <cell r="J2613">
            <v>262041.87</v>
          </cell>
        </row>
        <row r="2614">
          <cell r="J2614">
            <v>257641.87</v>
          </cell>
        </row>
        <row r="2615">
          <cell r="J2615">
            <v>253241.87</v>
          </cell>
        </row>
        <row r="2616">
          <cell r="J2616">
            <v>249941.87</v>
          </cell>
        </row>
        <row r="2617">
          <cell r="J2617">
            <v>254941.87</v>
          </cell>
        </row>
        <row r="2618">
          <cell r="J2618">
            <v>257941.87</v>
          </cell>
        </row>
        <row r="2619">
          <cell r="J2619">
            <v>261941.87</v>
          </cell>
        </row>
        <row r="2620">
          <cell r="J2620">
            <v>258641.87</v>
          </cell>
        </row>
        <row r="2621">
          <cell r="J2621">
            <v>258641.87</v>
          </cell>
        </row>
        <row r="2622">
          <cell r="J2622">
            <v>264091.87</v>
          </cell>
        </row>
        <row r="2623">
          <cell r="J2623">
            <v>267091.87</v>
          </cell>
        </row>
        <row r="2624">
          <cell r="J2624">
            <v>264891.87</v>
          </cell>
        </row>
        <row r="2625">
          <cell r="J2625">
            <v>265891.87</v>
          </cell>
        </row>
        <row r="2626">
          <cell r="J2626">
            <v>263691.87</v>
          </cell>
        </row>
        <row r="2627">
          <cell r="J2627">
            <v>265691.87</v>
          </cell>
        </row>
        <row r="2628">
          <cell r="J2628">
            <v>263491.87</v>
          </cell>
        </row>
        <row r="2629">
          <cell r="J2629">
            <v>267491.87</v>
          </cell>
        </row>
        <row r="2630">
          <cell r="J2630">
            <v>270535.34999999998</v>
          </cell>
        </row>
        <row r="2631">
          <cell r="J2631">
            <v>268335.34999999998</v>
          </cell>
        </row>
        <row r="2632">
          <cell r="J2632">
            <v>265035.34999999998</v>
          </cell>
        </row>
        <row r="2633">
          <cell r="J2633">
            <v>267035.34999999998</v>
          </cell>
        </row>
        <row r="2634">
          <cell r="J2634">
            <v>274460.34999999998</v>
          </cell>
        </row>
        <row r="2635">
          <cell r="J2635">
            <v>272260.34999999998</v>
          </cell>
        </row>
        <row r="2636">
          <cell r="J2636">
            <v>268960.34999999998</v>
          </cell>
        </row>
        <row r="2637">
          <cell r="J2637">
            <v>271960.34999999998</v>
          </cell>
        </row>
        <row r="2638">
          <cell r="J2638">
            <v>275960.34999999998</v>
          </cell>
        </row>
        <row r="2639">
          <cell r="J2639">
            <v>278569.05</v>
          </cell>
        </row>
        <row r="2640">
          <cell r="J2640">
            <v>280569.05</v>
          </cell>
        </row>
        <row r="2641">
          <cell r="J2641">
            <v>277269.05</v>
          </cell>
        </row>
        <row r="2642">
          <cell r="J2642">
            <v>275069.05</v>
          </cell>
        </row>
        <row r="2643">
          <cell r="J2643">
            <v>277069.05</v>
          </cell>
        </row>
        <row r="2644">
          <cell r="J2644">
            <v>274869.05</v>
          </cell>
        </row>
        <row r="2645">
          <cell r="J2645">
            <v>275869.05</v>
          </cell>
        </row>
        <row r="2646">
          <cell r="J2646">
            <v>272569.05</v>
          </cell>
        </row>
        <row r="2647">
          <cell r="J2647">
            <v>270569.05</v>
          </cell>
        </row>
        <row r="2648">
          <cell r="J2648">
            <v>267269.05</v>
          </cell>
        </row>
        <row r="2649">
          <cell r="J2649">
            <v>262869.05</v>
          </cell>
        </row>
        <row r="2650">
          <cell r="J2650">
            <v>257369.05</v>
          </cell>
        </row>
        <row r="2651">
          <cell r="J2651">
            <v>258369.05</v>
          </cell>
        </row>
        <row r="2652">
          <cell r="J2652">
            <v>261369.05</v>
          </cell>
        </row>
        <row r="2653">
          <cell r="J2653">
            <v>255869.05</v>
          </cell>
        </row>
        <row r="2654">
          <cell r="J2654">
            <v>257869.05</v>
          </cell>
        </row>
        <row r="2655">
          <cell r="J2655">
            <v>261869.05</v>
          </cell>
        </row>
        <row r="2656">
          <cell r="J2656">
            <v>259669.05</v>
          </cell>
        </row>
        <row r="2657">
          <cell r="J2657">
            <v>258569.05</v>
          </cell>
        </row>
        <row r="2658">
          <cell r="J2658">
            <v>262482.08999999997</v>
          </cell>
        </row>
        <row r="2659">
          <cell r="J2659">
            <v>266482.08999999997</v>
          </cell>
        </row>
        <row r="2660">
          <cell r="J2660">
            <v>269170.08999999997</v>
          </cell>
        </row>
        <row r="2661">
          <cell r="J2661">
            <v>271170.08999999997</v>
          </cell>
        </row>
        <row r="2662">
          <cell r="J2662">
            <v>267870.08999999997</v>
          </cell>
        </row>
        <row r="2663">
          <cell r="J2663">
            <v>267870.08999999997</v>
          </cell>
        </row>
        <row r="2664">
          <cell r="J2664">
            <v>264570.08999999997</v>
          </cell>
        </row>
        <row r="2665">
          <cell r="J2665">
            <v>261570.08999999997</v>
          </cell>
        </row>
        <row r="2666">
          <cell r="J2666">
            <v>266570.08999999997</v>
          </cell>
        </row>
        <row r="2667">
          <cell r="J2667">
            <v>269195.08999999997</v>
          </cell>
        </row>
        <row r="2668">
          <cell r="J2668">
            <v>268095.08999999997</v>
          </cell>
        </row>
        <row r="2669">
          <cell r="J2669">
            <v>270495.08999999997</v>
          </cell>
        </row>
        <row r="2670">
          <cell r="J2670">
            <v>267195.08999999997</v>
          </cell>
        </row>
        <row r="2671">
          <cell r="J2671">
            <v>269195.08999999997</v>
          </cell>
        </row>
        <row r="2672">
          <cell r="J2672">
            <v>271195.08999999997</v>
          </cell>
        </row>
        <row r="2673">
          <cell r="J2673">
            <v>266795.08999999997</v>
          </cell>
        </row>
        <row r="2674">
          <cell r="J2674">
            <v>268795.08999999997</v>
          </cell>
        </row>
        <row r="2675">
          <cell r="J2675">
            <v>267695.08999999997</v>
          </cell>
        </row>
        <row r="2676">
          <cell r="J2676">
            <v>272695.08999999997</v>
          </cell>
        </row>
        <row r="2677">
          <cell r="J2677">
            <v>275695.08999999997</v>
          </cell>
        </row>
        <row r="2678">
          <cell r="J2678">
            <v>279695.08999999997</v>
          </cell>
        </row>
        <row r="2679">
          <cell r="J2679">
            <v>276395.08999999997</v>
          </cell>
        </row>
        <row r="2680">
          <cell r="J2680">
            <v>271995.08999999997</v>
          </cell>
        </row>
        <row r="2681">
          <cell r="J2681">
            <v>277770.08999999997</v>
          </cell>
        </row>
        <row r="2682">
          <cell r="J2682">
            <v>279770.08999999997</v>
          </cell>
        </row>
        <row r="2683">
          <cell r="J2683">
            <v>282770.08999999997</v>
          </cell>
        </row>
        <row r="2684">
          <cell r="J2684">
            <v>280570.08999999997</v>
          </cell>
        </row>
        <row r="2685">
          <cell r="J2685">
            <v>283570.08999999997</v>
          </cell>
        </row>
        <row r="2686">
          <cell r="J2686">
            <v>285570.08999999997</v>
          </cell>
        </row>
        <row r="2687">
          <cell r="J2687">
            <v>282270.08999999997</v>
          </cell>
        </row>
        <row r="2688">
          <cell r="J2688">
            <v>280770.08999999997</v>
          </cell>
        </row>
        <row r="2689">
          <cell r="J2689">
            <v>277470.08999999997</v>
          </cell>
        </row>
        <row r="2690">
          <cell r="J2690">
            <v>275270.08999999997</v>
          </cell>
        </row>
        <row r="2691">
          <cell r="J2691">
            <v>276270.08999999997</v>
          </cell>
        </row>
        <row r="2692">
          <cell r="J2692">
            <v>270770.08999999997</v>
          </cell>
        </row>
        <row r="2693">
          <cell r="J2693">
            <v>273770.08999999997</v>
          </cell>
        </row>
        <row r="2694">
          <cell r="J2694">
            <v>276770.08999999997</v>
          </cell>
        </row>
        <row r="2695">
          <cell r="J2695">
            <v>279170.08999999997</v>
          </cell>
        </row>
        <row r="2696">
          <cell r="J2696">
            <v>274770.08999999997</v>
          </cell>
        </row>
        <row r="2697">
          <cell r="J2697">
            <v>272570.08999999997</v>
          </cell>
        </row>
        <row r="2698">
          <cell r="J2698">
            <v>267070.08999999997</v>
          </cell>
        </row>
        <row r="2699">
          <cell r="J2699">
            <v>262670.08999999997</v>
          </cell>
        </row>
        <row r="2700">
          <cell r="J2700">
            <v>260470.08999999997</v>
          </cell>
        </row>
        <row r="2701">
          <cell r="J2701">
            <v>262470.08999999997</v>
          </cell>
        </row>
        <row r="2702">
          <cell r="J2702">
            <v>258070.08999999997</v>
          </cell>
        </row>
        <row r="2703">
          <cell r="J2703">
            <v>261070.08999999997</v>
          </cell>
        </row>
        <row r="2704">
          <cell r="J2704">
            <v>259070.08999999997</v>
          </cell>
        </row>
        <row r="2705">
          <cell r="J2705">
            <v>254070.08999999997</v>
          </cell>
        </row>
        <row r="2706">
          <cell r="J2706">
            <v>256986.75999999998</v>
          </cell>
        </row>
        <row r="2707">
          <cell r="J2707">
            <v>260736.75999999998</v>
          </cell>
        </row>
        <row r="2708">
          <cell r="J2708">
            <v>263653.76000000001</v>
          </cell>
        </row>
        <row r="2709">
          <cell r="J2709">
            <v>266453.76000000001</v>
          </cell>
        </row>
        <row r="2710">
          <cell r="J2710">
            <v>264253.76</v>
          </cell>
        </row>
        <row r="2711">
          <cell r="J2711">
            <v>260953.76</v>
          </cell>
        </row>
        <row r="2712">
          <cell r="J2712">
            <v>255453.76</v>
          </cell>
        </row>
        <row r="2713">
          <cell r="J2713">
            <v>258453.76000000001</v>
          </cell>
        </row>
        <row r="2714">
          <cell r="J2714">
            <v>255153.76</v>
          </cell>
        </row>
        <row r="2715">
          <cell r="J2715">
            <v>258153.76</v>
          </cell>
        </row>
        <row r="2716">
          <cell r="J2716">
            <v>254853.76000000001</v>
          </cell>
        </row>
        <row r="2717">
          <cell r="J2717">
            <v>256853.76000000001</v>
          </cell>
        </row>
        <row r="2718">
          <cell r="J2718">
            <v>254653.76</v>
          </cell>
        </row>
        <row r="2719">
          <cell r="J2719">
            <v>249153.76</v>
          </cell>
        </row>
        <row r="2720">
          <cell r="J2720">
            <v>246953.76</v>
          </cell>
        </row>
        <row r="2721">
          <cell r="J2721">
            <v>244753.76</v>
          </cell>
        </row>
        <row r="2722">
          <cell r="J2722">
            <v>244753.76</v>
          </cell>
        </row>
        <row r="2723">
          <cell r="J2723">
            <v>249128.76</v>
          </cell>
        </row>
        <row r="2724">
          <cell r="J2724">
            <v>252128.76</v>
          </cell>
        </row>
        <row r="2725">
          <cell r="J2725">
            <v>248828.76</v>
          </cell>
        </row>
        <row r="2726">
          <cell r="J2726">
            <v>245828.76</v>
          </cell>
        </row>
        <row r="2727">
          <cell r="J2727">
            <v>243628.76</v>
          </cell>
        </row>
        <row r="2728">
          <cell r="J2728">
            <v>246928.76</v>
          </cell>
        </row>
        <row r="2729">
          <cell r="J2729">
            <v>241428.76</v>
          </cell>
        </row>
        <row r="2730">
          <cell r="J2730">
            <v>240328.76</v>
          </cell>
        </row>
        <row r="2731">
          <cell r="J2731">
            <v>242328.76</v>
          </cell>
        </row>
        <row r="2732">
          <cell r="J2732">
            <v>245056.03</v>
          </cell>
        </row>
        <row r="2733">
          <cell r="J2733">
            <v>249056.03</v>
          </cell>
        </row>
        <row r="2734">
          <cell r="J2734">
            <v>245756.03</v>
          </cell>
        </row>
        <row r="2735">
          <cell r="J2735">
            <v>246756.03</v>
          </cell>
        </row>
        <row r="2736">
          <cell r="J2736">
            <v>249756.03</v>
          </cell>
        </row>
        <row r="2737">
          <cell r="J2737">
            <v>254631.03</v>
          </cell>
        </row>
        <row r="2738">
          <cell r="J2738">
            <v>251331.03</v>
          </cell>
        </row>
        <row r="2739">
          <cell r="J2739">
            <v>253331.03</v>
          </cell>
        </row>
        <row r="2740">
          <cell r="J2740">
            <v>256331.03</v>
          </cell>
        </row>
        <row r="2741">
          <cell r="J2741">
            <v>259331.03</v>
          </cell>
        </row>
        <row r="2742">
          <cell r="J2742">
            <v>258331.03</v>
          </cell>
        </row>
        <row r="2743">
          <cell r="J2743">
            <v>261331.03</v>
          </cell>
        </row>
        <row r="2744">
          <cell r="J2744">
            <v>259831.03</v>
          </cell>
        </row>
        <row r="2745">
          <cell r="J2745">
            <v>254331.03</v>
          </cell>
        </row>
        <row r="2746">
          <cell r="J2746">
            <v>252131.03</v>
          </cell>
        </row>
        <row r="2747">
          <cell r="J2747">
            <v>255131.03</v>
          </cell>
        </row>
        <row r="2748">
          <cell r="J2748">
            <v>258228.38</v>
          </cell>
        </row>
        <row r="2749">
          <cell r="J2749">
            <v>256728.38</v>
          </cell>
        </row>
        <row r="2750">
          <cell r="J2750">
            <v>261014.09</v>
          </cell>
        </row>
        <row r="2751">
          <cell r="J2751">
            <v>256614.09</v>
          </cell>
        </row>
        <row r="2752">
          <cell r="J2752">
            <v>253314.09</v>
          </cell>
        </row>
        <row r="2753">
          <cell r="J2753">
            <v>257314.09</v>
          </cell>
        </row>
        <row r="2754">
          <cell r="J2754">
            <v>252314.09</v>
          </cell>
        </row>
        <row r="2755">
          <cell r="J2755">
            <v>249014.09</v>
          </cell>
        </row>
        <row r="2756">
          <cell r="J2756">
            <v>245714.09</v>
          </cell>
        </row>
        <row r="2757">
          <cell r="J2757">
            <v>246714.09</v>
          </cell>
        </row>
        <row r="2758">
          <cell r="J2758">
            <v>244214.09</v>
          </cell>
        </row>
        <row r="2759">
          <cell r="J2759">
            <v>247214.09</v>
          </cell>
        </row>
        <row r="2760">
          <cell r="J2760">
            <v>250214.09</v>
          </cell>
        </row>
        <row r="2761">
          <cell r="J2761">
            <v>246914.09</v>
          </cell>
        </row>
        <row r="2762">
          <cell r="J2762">
            <v>249914.09</v>
          </cell>
        </row>
        <row r="2763">
          <cell r="J2763">
            <v>250914.09</v>
          </cell>
        </row>
        <row r="2764">
          <cell r="J2764">
            <v>252914.09</v>
          </cell>
        </row>
        <row r="2765">
          <cell r="J2765">
            <v>249614.09</v>
          </cell>
        </row>
        <row r="2766">
          <cell r="J2766">
            <v>244114.09</v>
          </cell>
        </row>
        <row r="2767">
          <cell r="J2767">
            <v>239714.09</v>
          </cell>
        </row>
        <row r="2768">
          <cell r="J2768">
            <v>242714.09</v>
          </cell>
        </row>
        <row r="2769">
          <cell r="J2769">
            <v>241714.09</v>
          </cell>
        </row>
        <row r="2770">
          <cell r="J2770">
            <v>245714.09</v>
          </cell>
        </row>
        <row r="2771">
          <cell r="J2771">
            <v>248714.09</v>
          </cell>
        </row>
        <row r="2772">
          <cell r="J2772">
            <v>251571.23</v>
          </cell>
        </row>
        <row r="2773">
          <cell r="J2773">
            <v>254571.23</v>
          </cell>
        </row>
        <row r="2774">
          <cell r="J2774">
            <v>254571.23</v>
          </cell>
        </row>
        <row r="2775">
          <cell r="J2775">
            <v>257571.23</v>
          </cell>
        </row>
        <row r="2776">
          <cell r="J2776">
            <v>259571.23</v>
          </cell>
        </row>
        <row r="2777">
          <cell r="J2777">
            <v>254071.23</v>
          </cell>
        </row>
        <row r="2778">
          <cell r="J2778">
            <v>250571.23</v>
          </cell>
        </row>
        <row r="2779">
          <cell r="J2779">
            <v>249471.23</v>
          </cell>
        </row>
        <row r="2780">
          <cell r="J2780">
            <v>256471.23</v>
          </cell>
        </row>
        <row r="2781">
          <cell r="J2781">
            <v>258471.23</v>
          </cell>
        </row>
        <row r="2782">
          <cell r="J2782">
            <v>262881.23</v>
          </cell>
        </row>
        <row r="2783">
          <cell r="J2783">
            <v>260681.22999999998</v>
          </cell>
        </row>
        <row r="2784">
          <cell r="J2784">
            <v>266181.23</v>
          </cell>
        </row>
        <row r="2785">
          <cell r="J2785">
            <v>268181.23</v>
          </cell>
        </row>
        <row r="2786">
          <cell r="J2786">
            <v>271097.89999999997</v>
          </cell>
        </row>
        <row r="2787">
          <cell r="J2787">
            <v>273097.89999999997</v>
          </cell>
        </row>
        <row r="2788">
          <cell r="J2788">
            <v>277097.89999999997</v>
          </cell>
        </row>
        <row r="2789">
          <cell r="J2789">
            <v>280097.89999999997</v>
          </cell>
        </row>
        <row r="2790">
          <cell r="J2790">
            <v>275697.89999999997</v>
          </cell>
        </row>
        <row r="2791">
          <cell r="J2791">
            <v>278697.89999999997</v>
          </cell>
        </row>
        <row r="2792">
          <cell r="J2792">
            <v>281697.89999999997</v>
          </cell>
        </row>
        <row r="2793">
          <cell r="J2793">
            <v>279497.89999999997</v>
          </cell>
        </row>
        <row r="2794">
          <cell r="J2794">
            <v>281497.89999999997</v>
          </cell>
        </row>
        <row r="2795">
          <cell r="J2795">
            <v>287547.89999999997</v>
          </cell>
        </row>
        <row r="2796">
          <cell r="J2796">
            <v>284247.89999999997</v>
          </cell>
        </row>
        <row r="2797">
          <cell r="J2797">
            <v>281247.89999999997</v>
          </cell>
        </row>
        <row r="2798">
          <cell r="J2798">
            <v>278747.89999999997</v>
          </cell>
        </row>
        <row r="2799">
          <cell r="J2799">
            <v>274347.89999999997</v>
          </cell>
        </row>
        <row r="2800">
          <cell r="J2800">
            <v>273247.89999999997</v>
          </cell>
        </row>
        <row r="2801">
          <cell r="J2801">
            <v>267747.89999999997</v>
          </cell>
        </row>
        <row r="2802">
          <cell r="J2802">
            <v>267747.89999999997</v>
          </cell>
        </row>
        <row r="2803">
          <cell r="J2803">
            <v>272747.89999999997</v>
          </cell>
        </row>
        <row r="2804">
          <cell r="J2804">
            <v>273747.89999999997</v>
          </cell>
        </row>
        <row r="2805">
          <cell r="J2805">
            <v>276747.89999999997</v>
          </cell>
        </row>
        <row r="2806">
          <cell r="J2806">
            <v>279747.89999999997</v>
          </cell>
        </row>
        <row r="2807">
          <cell r="J2807">
            <v>282747.89999999997</v>
          </cell>
        </row>
        <row r="2808">
          <cell r="J2808">
            <v>285747.89999999997</v>
          </cell>
        </row>
        <row r="2809">
          <cell r="J2809">
            <v>288747.89999999997</v>
          </cell>
        </row>
        <row r="2810">
          <cell r="J2810">
            <v>292081.23</v>
          </cell>
        </row>
        <row r="2811">
          <cell r="J2811">
            <v>286581.23</v>
          </cell>
        </row>
        <row r="2812">
          <cell r="J2812">
            <v>289624.70999999996</v>
          </cell>
        </row>
        <row r="2813">
          <cell r="J2813">
            <v>286324.70999999996</v>
          </cell>
        </row>
        <row r="2814">
          <cell r="J2814">
            <v>287324.70999999996</v>
          </cell>
        </row>
        <row r="2815">
          <cell r="J2815">
            <v>292324.70999999996</v>
          </cell>
        </row>
        <row r="2816">
          <cell r="J2816">
            <v>296224.70999999996</v>
          </cell>
        </row>
        <row r="2817">
          <cell r="J2817">
            <v>299224.70999999996</v>
          </cell>
        </row>
        <row r="2818">
          <cell r="J2818">
            <v>293724.70999999996</v>
          </cell>
        </row>
        <row r="2819">
          <cell r="J2819">
            <v>291224.70999999996</v>
          </cell>
        </row>
        <row r="2820">
          <cell r="J2820">
            <v>286824.70999999996</v>
          </cell>
        </row>
        <row r="2821">
          <cell r="J2821">
            <v>283524.70999999996</v>
          </cell>
        </row>
        <row r="2822">
          <cell r="J2822">
            <v>291499.70999999996</v>
          </cell>
        </row>
        <row r="2823">
          <cell r="J2823">
            <v>292499.70999999996</v>
          </cell>
        </row>
        <row r="2824">
          <cell r="J2824">
            <v>296499.70999999996</v>
          </cell>
        </row>
        <row r="2825">
          <cell r="J2825">
            <v>296499.70999999996</v>
          </cell>
        </row>
        <row r="2826">
          <cell r="J2826">
            <v>301282.70999999996</v>
          </cell>
        </row>
        <row r="2827">
          <cell r="J2827">
            <v>305282.70999999996</v>
          </cell>
        </row>
        <row r="2828">
          <cell r="J2828">
            <v>301982.70999999996</v>
          </cell>
        </row>
        <row r="2829">
          <cell r="J2829">
            <v>300882.70999999996</v>
          </cell>
        </row>
        <row r="2830">
          <cell r="J2830">
            <v>303757.70999999996</v>
          </cell>
        </row>
        <row r="2831">
          <cell r="J2831">
            <v>300457.70999999996</v>
          </cell>
        </row>
        <row r="2832">
          <cell r="J2832">
            <v>300457.70999999996</v>
          </cell>
        </row>
        <row r="2833">
          <cell r="J2833">
            <v>300457.70999999996</v>
          </cell>
        </row>
        <row r="2834">
          <cell r="J2834">
            <v>297157.70999999996</v>
          </cell>
        </row>
        <row r="2835">
          <cell r="J2835">
            <v>301357.70999999996</v>
          </cell>
        </row>
        <row r="2836">
          <cell r="J2836">
            <v>305643.42</v>
          </cell>
        </row>
        <row r="2837">
          <cell r="J2837">
            <v>303443.42</v>
          </cell>
        </row>
        <row r="2838">
          <cell r="J2838">
            <v>297943.42</v>
          </cell>
        </row>
        <row r="2839">
          <cell r="J2839">
            <v>295743.42</v>
          </cell>
        </row>
        <row r="2840">
          <cell r="J2840">
            <v>298743.42</v>
          </cell>
        </row>
        <row r="2841">
          <cell r="J2841">
            <v>300843.42</v>
          </cell>
        </row>
        <row r="2842">
          <cell r="J2842">
            <v>299743.42</v>
          </cell>
        </row>
        <row r="2843">
          <cell r="J2843">
            <v>296443.42</v>
          </cell>
        </row>
        <row r="2844">
          <cell r="J2844">
            <v>293143.42</v>
          </cell>
        </row>
        <row r="2845">
          <cell r="J2845">
            <v>287643.42</v>
          </cell>
        </row>
        <row r="2846">
          <cell r="J2846">
            <v>285443.42</v>
          </cell>
        </row>
        <row r="2847">
          <cell r="J2847">
            <v>293243.42</v>
          </cell>
        </row>
        <row r="2848">
          <cell r="J2848">
            <v>294243.42</v>
          </cell>
        </row>
        <row r="2849">
          <cell r="J2849">
            <v>292043.42</v>
          </cell>
        </row>
        <row r="2850">
          <cell r="J2850">
            <v>292043.42</v>
          </cell>
        </row>
        <row r="2851">
          <cell r="J2851">
            <v>295043.42</v>
          </cell>
        </row>
        <row r="2852">
          <cell r="J2852">
            <v>300043.42</v>
          </cell>
        </row>
        <row r="2853">
          <cell r="J2853">
            <v>298943.42</v>
          </cell>
        </row>
        <row r="2854">
          <cell r="J2854">
            <v>301986.89999999997</v>
          </cell>
        </row>
        <row r="2855">
          <cell r="J2855">
            <v>304986.89999999997</v>
          </cell>
        </row>
        <row r="2856">
          <cell r="J2856">
            <v>309986.89999999997</v>
          </cell>
        </row>
        <row r="2857">
          <cell r="J2857">
            <v>312986.89999999997</v>
          </cell>
        </row>
        <row r="2858">
          <cell r="J2858">
            <v>315986.89999999997</v>
          </cell>
        </row>
        <row r="2859">
          <cell r="J2859">
            <v>313786.89999999997</v>
          </cell>
        </row>
        <row r="2860">
          <cell r="J2860">
            <v>310486.89999999997</v>
          </cell>
        </row>
        <row r="2861">
          <cell r="J2861">
            <v>314886.89999999997</v>
          </cell>
        </row>
        <row r="2862">
          <cell r="J2862">
            <v>318886.89999999997</v>
          </cell>
        </row>
        <row r="2863">
          <cell r="J2863">
            <v>316686.89999999997</v>
          </cell>
        </row>
        <row r="2864">
          <cell r="J2864">
            <v>321686.89999999997</v>
          </cell>
        </row>
        <row r="2865">
          <cell r="J2865">
            <v>324686.89999999997</v>
          </cell>
        </row>
        <row r="2866">
          <cell r="J2866">
            <v>327386.89999999997</v>
          </cell>
        </row>
        <row r="2867">
          <cell r="J2867">
            <v>324086.89999999997</v>
          </cell>
        </row>
        <row r="2868">
          <cell r="J2868">
            <v>319686.89999999997</v>
          </cell>
        </row>
        <row r="2869">
          <cell r="J2869">
            <v>324686.89999999997</v>
          </cell>
        </row>
        <row r="2870">
          <cell r="J2870">
            <v>319186.89999999997</v>
          </cell>
        </row>
        <row r="2871">
          <cell r="J2871">
            <v>322186.89999999997</v>
          </cell>
        </row>
        <row r="2872">
          <cell r="J2872">
            <v>318886.89999999997</v>
          </cell>
        </row>
        <row r="2873">
          <cell r="J2873">
            <v>322086.89999999997</v>
          </cell>
        </row>
        <row r="2874">
          <cell r="J2874">
            <v>325049.86</v>
          </cell>
        </row>
        <row r="2875">
          <cell r="J2875">
            <v>330049.86</v>
          </cell>
        </row>
        <row r="2876">
          <cell r="J2876">
            <v>328249.86</v>
          </cell>
        </row>
        <row r="2877">
          <cell r="J2877">
            <v>327249.86</v>
          </cell>
        </row>
        <row r="2878">
          <cell r="J2878">
            <v>330249.86</v>
          </cell>
        </row>
        <row r="2879">
          <cell r="J2879">
            <v>325849.86</v>
          </cell>
        </row>
        <row r="2880">
          <cell r="J2880">
            <v>323649.86</v>
          </cell>
        </row>
        <row r="2881">
          <cell r="J2881">
            <v>326649.86</v>
          </cell>
        </row>
        <row r="2882">
          <cell r="J2882">
            <v>328649.86</v>
          </cell>
        </row>
        <row r="2883">
          <cell r="J2883">
            <v>326449.86</v>
          </cell>
        </row>
        <row r="2884">
          <cell r="J2884">
            <v>323149.86</v>
          </cell>
        </row>
        <row r="2885">
          <cell r="J2885">
            <v>322049.86</v>
          </cell>
        </row>
        <row r="2886">
          <cell r="J2886">
            <v>318749.86</v>
          </cell>
        </row>
        <row r="2887">
          <cell r="J2887">
            <v>314349.86</v>
          </cell>
        </row>
        <row r="2888">
          <cell r="J2888">
            <v>312149.86</v>
          </cell>
        </row>
        <row r="2889">
          <cell r="J2889">
            <v>308849.86</v>
          </cell>
        </row>
        <row r="2890">
          <cell r="J2890">
            <v>310849.86</v>
          </cell>
        </row>
        <row r="2891">
          <cell r="J2891">
            <v>312849.86</v>
          </cell>
        </row>
        <row r="2892">
          <cell r="J2892">
            <v>314849.86</v>
          </cell>
        </row>
        <row r="2893">
          <cell r="J2893">
            <v>312649.86</v>
          </cell>
        </row>
        <row r="2894">
          <cell r="J2894">
            <v>310449.86</v>
          </cell>
        </row>
        <row r="2895">
          <cell r="J2895">
            <v>311449.86</v>
          </cell>
        </row>
        <row r="2896">
          <cell r="J2896">
            <v>313449.86</v>
          </cell>
        </row>
        <row r="2897">
          <cell r="J2897">
            <v>309049.86</v>
          </cell>
        </row>
        <row r="2898">
          <cell r="J2898">
            <v>305749.86</v>
          </cell>
        </row>
        <row r="2899">
          <cell r="J2899">
            <v>305749.86</v>
          </cell>
        </row>
        <row r="2900">
          <cell r="J2900">
            <v>304649.86</v>
          </cell>
        </row>
        <row r="2901">
          <cell r="J2901">
            <v>302449.86</v>
          </cell>
        </row>
        <row r="2902">
          <cell r="J2902">
            <v>298049.86</v>
          </cell>
        </row>
        <row r="2903">
          <cell r="J2903">
            <v>301049.86</v>
          </cell>
        </row>
        <row r="2904">
          <cell r="J2904">
            <v>304049.86</v>
          </cell>
        </row>
        <row r="2905">
          <cell r="J2905">
            <v>300749.86</v>
          </cell>
        </row>
        <row r="2906">
          <cell r="J2906">
            <v>302749.86</v>
          </cell>
        </row>
        <row r="2907">
          <cell r="J2907">
            <v>304749.86</v>
          </cell>
        </row>
        <row r="2908">
          <cell r="J2908">
            <v>307749.86</v>
          </cell>
        </row>
        <row r="2909">
          <cell r="J2909">
            <v>310749.86</v>
          </cell>
        </row>
        <row r="2910">
          <cell r="J2910">
            <v>305749.86</v>
          </cell>
        </row>
        <row r="2911">
          <cell r="J2911">
            <v>304649.86</v>
          </cell>
        </row>
        <row r="2912">
          <cell r="J2912">
            <v>306649.86</v>
          </cell>
        </row>
        <row r="2913">
          <cell r="J2913">
            <v>303349.86</v>
          </cell>
        </row>
        <row r="2914">
          <cell r="J2914">
            <v>308349.86</v>
          </cell>
        </row>
        <row r="2915">
          <cell r="J2915">
            <v>310349.86</v>
          </cell>
        </row>
        <row r="2916">
          <cell r="J2916">
            <v>314349.86</v>
          </cell>
        </row>
        <row r="2917">
          <cell r="J2917">
            <v>316749.86</v>
          </cell>
        </row>
        <row r="2918">
          <cell r="J2918">
            <v>314549.86</v>
          </cell>
        </row>
        <row r="2919">
          <cell r="J2919">
            <v>310549.86</v>
          </cell>
        </row>
        <row r="2920">
          <cell r="J2920">
            <v>308349.86</v>
          </cell>
        </row>
        <row r="2921">
          <cell r="J2921">
            <v>305049.86</v>
          </cell>
        </row>
        <row r="2922">
          <cell r="J2922">
            <v>306049.86</v>
          </cell>
        </row>
        <row r="2923">
          <cell r="J2923">
            <v>310049.86</v>
          </cell>
        </row>
        <row r="2924">
          <cell r="J2924">
            <v>312049.86</v>
          </cell>
        </row>
        <row r="2925">
          <cell r="J2925">
            <v>316049.86</v>
          </cell>
        </row>
        <row r="2926">
          <cell r="J2926">
            <v>314049.86</v>
          </cell>
        </row>
        <row r="2927">
          <cell r="J2927">
            <v>317049.86</v>
          </cell>
        </row>
        <row r="2928">
          <cell r="J2928">
            <v>318049.86</v>
          </cell>
        </row>
        <row r="2929">
          <cell r="J2929">
            <v>320049.86</v>
          </cell>
        </row>
        <row r="2930">
          <cell r="J2930">
            <v>316749.86</v>
          </cell>
        </row>
        <row r="2931">
          <cell r="J2931">
            <v>321749.86</v>
          </cell>
        </row>
        <row r="2932">
          <cell r="J2932">
            <v>324749.86</v>
          </cell>
        </row>
        <row r="2933">
          <cell r="J2933">
            <v>326749.86</v>
          </cell>
        </row>
        <row r="2934">
          <cell r="J2934">
            <v>324549.86</v>
          </cell>
        </row>
        <row r="2935">
          <cell r="J2935">
            <v>327549.86</v>
          </cell>
        </row>
        <row r="2936">
          <cell r="J2936">
            <v>330158.56</v>
          </cell>
        </row>
        <row r="2937">
          <cell r="J2937">
            <v>333158.56</v>
          </cell>
        </row>
        <row r="2938">
          <cell r="J2938">
            <v>332058.56</v>
          </cell>
        </row>
        <row r="2939">
          <cell r="J2939">
            <v>335058.56</v>
          </cell>
        </row>
        <row r="2940">
          <cell r="J2940">
            <v>337058.56</v>
          </cell>
        </row>
        <row r="2941">
          <cell r="J2941">
            <v>341058.56</v>
          </cell>
        </row>
        <row r="2942">
          <cell r="J2942">
            <v>337758.56</v>
          </cell>
        </row>
        <row r="2943">
          <cell r="J2943">
            <v>333958.56</v>
          </cell>
        </row>
        <row r="2944">
          <cell r="J2944">
            <v>335958.56</v>
          </cell>
        </row>
        <row r="2945">
          <cell r="J2945">
            <v>332658.56</v>
          </cell>
        </row>
        <row r="2946">
          <cell r="J2946">
            <v>337658.56</v>
          </cell>
        </row>
        <row r="2947">
          <cell r="J2947">
            <v>334358.56</v>
          </cell>
        </row>
        <row r="2948">
          <cell r="J2948">
            <v>337608.56</v>
          </cell>
        </row>
        <row r="2949">
          <cell r="J2949">
            <v>339608.56</v>
          </cell>
        </row>
        <row r="2950">
          <cell r="J2950">
            <v>337408.56</v>
          </cell>
        </row>
        <row r="2951">
          <cell r="J2951">
            <v>340408.56</v>
          </cell>
        </row>
        <row r="2952">
          <cell r="J2952">
            <v>342075.23</v>
          </cell>
        </row>
        <row r="2953">
          <cell r="J2953">
            <v>339875.23</v>
          </cell>
        </row>
        <row r="2954">
          <cell r="J2954">
            <v>336125.23</v>
          </cell>
        </row>
        <row r="2955">
          <cell r="J2955">
            <v>338125.23</v>
          </cell>
        </row>
        <row r="2956">
          <cell r="J2956">
            <v>337025.23</v>
          </cell>
        </row>
        <row r="2957">
          <cell r="J2957">
            <v>340025.23</v>
          </cell>
        </row>
        <row r="2958">
          <cell r="J2958">
            <v>345025.23</v>
          </cell>
        </row>
        <row r="2959">
          <cell r="J2959">
            <v>350025.23</v>
          </cell>
        </row>
        <row r="2960">
          <cell r="J2960">
            <v>347825.23</v>
          </cell>
        </row>
        <row r="2961">
          <cell r="J2961">
            <v>344225.23</v>
          </cell>
        </row>
        <row r="2962">
          <cell r="J2962">
            <v>346225.23</v>
          </cell>
        </row>
        <row r="2963">
          <cell r="J2963">
            <v>349225.23</v>
          </cell>
        </row>
        <row r="2964">
          <cell r="J2964">
            <v>347025.23</v>
          </cell>
        </row>
        <row r="2965">
          <cell r="J2965">
            <v>349247.44999999995</v>
          </cell>
        </row>
        <row r="2966">
          <cell r="J2966">
            <v>352247.44999999995</v>
          </cell>
        </row>
        <row r="2967">
          <cell r="J2967">
            <v>354247.44999999995</v>
          </cell>
        </row>
        <row r="2968">
          <cell r="J2968">
            <v>352047.44999999995</v>
          </cell>
        </row>
        <row r="2969">
          <cell r="J2969">
            <v>351047.44999999995</v>
          </cell>
        </row>
        <row r="2970">
          <cell r="J2970">
            <v>352047.44999999995</v>
          </cell>
        </row>
        <row r="2971">
          <cell r="J2971">
            <v>346547.44999999995</v>
          </cell>
        </row>
        <row r="2972">
          <cell r="J2972">
            <v>350547.44999999995</v>
          </cell>
        </row>
        <row r="2973">
          <cell r="J2973">
            <v>352547.44999999995</v>
          </cell>
        </row>
        <row r="2974">
          <cell r="J2974">
            <v>349247.44999999995</v>
          </cell>
        </row>
        <row r="2975">
          <cell r="J2975">
            <v>348247.44999999995</v>
          </cell>
        </row>
        <row r="2976">
          <cell r="J2976">
            <v>351247.44999999995</v>
          </cell>
        </row>
        <row r="2977">
          <cell r="J2977">
            <v>352247.44999999995</v>
          </cell>
        </row>
        <row r="2978">
          <cell r="J2978">
            <v>354247.44999999995</v>
          </cell>
        </row>
        <row r="2979">
          <cell r="J2979">
            <v>349847.44999999995</v>
          </cell>
        </row>
        <row r="2980">
          <cell r="J2980">
            <v>354430.44999999995</v>
          </cell>
        </row>
        <row r="2981">
          <cell r="J2981">
            <v>351430.44999999995</v>
          </cell>
        </row>
        <row r="2982">
          <cell r="J2982">
            <v>348130.44999999995</v>
          </cell>
        </row>
        <row r="2983">
          <cell r="J2983">
            <v>345930.44999999995</v>
          </cell>
        </row>
        <row r="2984">
          <cell r="J2984">
            <v>348930.44999999995</v>
          </cell>
        </row>
        <row r="2985">
          <cell r="J2985">
            <v>346730.44999999995</v>
          </cell>
        </row>
        <row r="2986">
          <cell r="J2986">
            <v>345630.44999999995</v>
          </cell>
        </row>
        <row r="2987">
          <cell r="J2987">
            <v>347630.44999999995</v>
          </cell>
        </row>
        <row r="2988">
          <cell r="J2988">
            <v>344330.44999999995</v>
          </cell>
        </row>
        <row r="2989">
          <cell r="J2989">
            <v>339930.44999999995</v>
          </cell>
        </row>
        <row r="2990">
          <cell r="J2990">
            <v>342539.14999999997</v>
          </cell>
        </row>
        <row r="2991">
          <cell r="J2991">
            <v>347539.14999999997</v>
          </cell>
        </row>
        <row r="2992">
          <cell r="J2992">
            <v>345339.14999999997</v>
          </cell>
        </row>
        <row r="2993">
          <cell r="J2993">
            <v>342039.14999999997</v>
          </cell>
        </row>
        <row r="2994">
          <cell r="J2994">
            <v>345142.6</v>
          </cell>
        </row>
        <row r="2995">
          <cell r="J2995">
            <v>348142.6</v>
          </cell>
        </row>
        <row r="2996">
          <cell r="J2996">
            <v>347042.6</v>
          </cell>
        </row>
        <row r="2997">
          <cell r="J2997">
            <v>343742.6</v>
          </cell>
        </row>
        <row r="2998">
          <cell r="J2998">
            <v>339342.6</v>
          </cell>
        </row>
        <row r="2999">
          <cell r="J2999">
            <v>337142.6</v>
          </cell>
        </row>
        <row r="3000">
          <cell r="J3000">
            <v>336142.6</v>
          </cell>
        </row>
        <row r="3001">
          <cell r="J3001">
            <v>332842.59999999998</v>
          </cell>
        </row>
        <row r="3002">
          <cell r="J3002">
            <v>327342.59999999998</v>
          </cell>
        </row>
        <row r="3003">
          <cell r="J3003">
            <v>324042.59999999998</v>
          </cell>
        </row>
        <row r="3004">
          <cell r="J3004">
            <v>326042.59999999998</v>
          </cell>
        </row>
        <row r="3005">
          <cell r="J3005">
            <v>325042.59999999998</v>
          </cell>
        </row>
        <row r="3006">
          <cell r="J3006">
            <v>322042.59999999998</v>
          </cell>
        </row>
        <row r="3007">
          <cell r="J3007">
            <v>324042.59999999998</v>
          </cell>
        </row>
        <row r="3008">
          <cell r="J3008">
            <v>320742.59999999998</v>
          </cell>
        </row>
        <row r="3009">
          <cell r="J3009">
            <v>322742.59999999998</v>
          </cell>
        </row>
        <row r="3010">
          <cell r="J3010">
            <v>324964.59999999998</v>
          </cell>
        </row>
        <row r="3011">
          <cell r="J3011">
            <v>323864.59999999998</v>
          </cell>
        </row>
        <row r="3012">
          <cell r="J3012">
            <v>326864.59999999998</v>
          </cell>
        </row>
        <row r="3013">
          <cell r="J3013">
            <v>321364.59999999998</v>
          </cell>
        </row>
        <row r="3014">
          <cell r="J3014">
            <v>323364.59999999998</v>
          </cell>
        </row>
        <row r="3015">
          <cell r="J3015">
            <v>318964.59999999998</v>
          </cell>
        </row>
        <row r="3016">
          <cell r="J3016">
            <v>317964.59999999998</v>
          </cell>
        </row>
        <row r="3017">
          <cell r="J3017">
            <v>314664.59999999998</v>
          </cell>
        </row>
        <row r="3018">
          <cell r="J3018">
            <v>309164.59999999998</v>
          </cell>
        </row>
        <row r="3019">
          <cell r="J3019">
            <v>311164.59999999998</v>
          </cell>
        </row>
        <row r="3020">
          <cell r="J3020">
            <v>307864.59999999998</v>
          </cell>
        </row>
        <row r="3021">
          <cell r="J3021">
            <v>308864.59999999998</v>
          </cell>
        </row>
        <row r="3022">
          <cell r="J3022">
            <v>313214.59999999998</v>
          </cell>
        </row>
        <row r="3023">
          <cell r="J3023">
            <v>311014.59999999998</v>
          </cell>
        </row>
        <row r="3024">
          <cell r="J3024">
            <v>313014.59999999998</v>
          </cell>
        </row>
        <row r="3025">
          <cell r="J3025">
            <v>310814.59999999998</v>
          </cell>
        </row>
        <row r="3026">
          <cell r="J3026">
            <v>313814.59999999998</v>
          </cell>
        </row>
        <row r="3027">
          <cell r="J3027">
            <v>319314.59999999998</v>
          </cell>
        </row>
        <row r="3028">
          <cell r="J3028">
            <v>317114.59999999998</v>
          </cell>
        </row>
        <row r="3029">
          <cell r="J3029">
            <v>313814.59999999998</v>
          </cell>
        </row>
        <row r="3030">
          <cell r="J3030">
            <v>312814.59999999998</v>
          </cell>
        </row>
        <row r="3031">
          <cell r="J3031">
            <v>310614.59999999998</v>
          </cell>
        </row>
        <row r="3032">
          <cell r="J3032">
            <v>306214.59999999998</v>
          </cell>
        </row>
        <row r="3033">
          <cell r="J3033">
            <v>308214.59999999998</v>
          </cell>
        </row>
        <row r="3034">
          <cell r="J3034">
            <v>303814.59999999998</v>
          </cell>
        </row>
        <row r="3035">
          <cell r="J3035">
            <v>308814.59999999998</v>
          </cell>
        </row>
        <row r="3036">
          <cell r="J3036">
            <v>305514.59999999998</v>
          </cell>
        </row>
        <row r="3037">
          <cell r="J3037">
            <v>308514.59999999998</v>
          </cell>
        </row>
        <row r="3038">
          <cell r="J3038">
            <v>313514.59999999998</v>
          </cell>
        </row>
        <row r="3039">
          <cell r="J3039">
            <v>312414.59999999998</v>
          </cell>
        </row>
        <row r="3040">
          <cell r="J3040">
            <v>309114.59999999998</v>
          </cell>
        </row>
        <row r="3041">
          <cell r="J3041">
            <v>306114.59999999998</v>
          </cell>
        </row>
        <row r="3042">
          <cell r="J3042">
            <v>308114.59999999998</v>
          </cell>
        </row>
        <row r="3043">
          <cell r="J3043">
            <v>310114.59999999998</v>
          </cell>
        </row>
        <row r="3044">
          <cell r="J3044">
            <v>312723.3</v>
          </cell>
        </row>
        <row r="3045">
          <cell r="J3045">
            <v>315723.3</v>
          </cell>
        </row>
        <row r="3046">
          <cell r="J3046">
            <v>312723.3</v>
          </cell>
        </row>
        <row r="3047">
          <cell r="J3047">
            <v>310523.3</v>
          </cell>
        </row>
        <row r="3048">
          <cell r="J3048">
            <v>312523.3</v>
          </cell>
        </row>
        <row r="3049">
          <cell r="J3049">
            <v>313523.3</v>
          </cell>
        </row>
        <row r="3050">
          <cell r="J3050">
            <v>310223.3</v>
          </cell>
        </row>
        <row r="3051">
          <cell r="J3051">
            <v>311923.3</v>
          </cell>
        </row>
        <row r="3052">
          <cell r="J3052">
            <v>313741.3</v>
          </cell>
        </row>
        <row r="3053">
          <cell r="J3053">
            <v>315810.26999999996</v>
          </cell>
        </row>
        <row r="3054">
          <cell r="J3054">
            <v>317810.26999999996</v>
          </cell>
        </row>
        <row r="3055">
          <cell r="J3055">
            <v>321810.26999999996</v>
          </cell>
        </row>
        <row r="3056">
          <cell r="J3056">
            <v>325884.26999999996</v>
          </cell>
        </row>
        <row r="3057">
          <cell r="J3057">
            <v>322584.26999999996</v>
          </cell>
        </row>
        <row r="3058">
          <cell r="J3058">
            <v>321484.26999999996</v>
          </cell>
        </row>
        <row r="3059">
          <cell r="J3059">
            <v>318984.26999999996</v>
          </cell>
        </row>
        <row r="3060">
          <cell r="J3060">
            <v>316784.26999999996</v>
          </cell>
        </row>
        <row r="3061">
          <cell r="J3061">
            <v>318784.26999999996</v>
          </cell>
        </row>
        <row r="3062">
          <cell r="J3062">
            <v>316584.26999999996</v>
          </cell>
        </row>
        <row r="3063">
          <cell r="J3063">
            <v>313584.26999999996</v>
          </cell>
        </row>
        <row r="3064">
          <cell r="J3064">
            <v>315584.26999999996</v>
          </cell>
        </row>
        <row r="3065">
          <cell r="J3065">
            <v>313384.26999999996</v>
          </cell>
        </row>
        <row r="3066">
          <cell r="J3066">
            <v>311184.26999999996</v>
          </cell>
        </row>
        <row r="3067">
          <cell r="J3067">
            <v>308984.26999999996</v>
          </cell>
        </row>
        <row r="3068">
          <cell r="J3068">
            <v>311984.26999999996</v>
          </cell>
        </row>
        <row r="3069">
          <cell r="J3069">
            <v>314984.26999999996</v>
          </cell>
        </row>
        <row r="3070">
          <cell r="J3070">
            <v>313884.26999999996</v>
          </cell>
        </row>
        <row r="3071">
          <cell r="J3071">
            <v>310584.26999999996</v>
          </cell>
        </row>
        <row r="3072">
          <cell r="J3072">
            <v>307584.26999999996</v>
          </cell>
        </row>
        <row r="3073">
          <cell r="J3073">
            <v>307584.26999999996</v>
          </cell>
        </row>
        <row r="3074">
          <cell r="J3074">
            <v>302084.26999999996</v>
          </cell>
        </row>
        <row r="3075">
          <cell r="J3075">
            <v>306209.26999999996</v>
          </cell>
        </row>
        <row r="3076">
          <cell r="J3076">
            <v>308209.26999999996</v>
          </cell>
        </row>
        <row r="3077">
          <cell r="J3077">
            <v>310209.26999999996</v>
          </cell>
        </row>
        <row r="3078">
          <cell r="J3078">
            <v>313252.26999999996</v>
          </cell>
        </row>
        <row r="3079">
          <cell r="J3079">
            <v>309952.26999999996</v>
          </cell>
        </row>
        <row r="3080">
          <cell r="J3080">
            <v>310952.26999999996</v>
          </cell>
        </row>
        <row r="3081">
          <cell r="J3081">
            <v>307652.26999999996</v>
          </cell>
        </row>
        <row r="3082">
          <cell r="J3082">
            <v>302152.26999999996</v>
          </cell>
        </row>
        <row r="3083">
          <cell r="J3083">
            <v>298652.26999999996</v>
          </cell>
        </row>
        <row r="3084">
          <cell r="J3084">
            <v>300652.26999999996</v>
          </cell>
        </row>
        <row r="3085">
          <cell r="J3085">
            <v>302652.26999999996</v>
          </cell>
        </row>
        <row r="3086">
          <cell r="J3086">
            <v>301552.26999999996</v>
          </cell>
        </row>
        <row r="3087">
          <cell r="J3087">
            <v>300452.26999999996</v>
          </cell>
        </row>
        <row r="3088">
          <cell r="J3088">
            <v>303452.26999999996</v>
          </cell>
        </row>
        <row r="3089">
          <cell r="J3089">
            <v>302352.26999999996</v>
          </cell>
        </row>
        <row r="3090">
          <cell r="J3090">
            <v>305352.26999999996</v>
          </cell>
        </row>
        <row r="3091">
          <cell r="J3091">
            <v>302352.26999999996</v>
          </cell>
        </row>
        <row r="3092">
          <cell r="J3092">
            <v>306018.93999999994</v>
          </cell>
        </row>
        <row r="3093">
          <cell r="J3093">
            <v>303818.93999999994</v>
          </cell>
        </row>
        <row r="3094">
          <cell r="J3094">
            <v>306818.93999999994</v>
          </cell>
        </row>
        <row r="3095">
          <cell r="J3095">
            <v>309818.93999999994</v>
          </cell>
        </row>
        <row r="3096">
          <cell r="J3096">
            <v>306818.93999999994</v>
          </cell>
        </row>
        <row r="3097">
          <cell r="J3097">
            <v>307818.93999999994</v>
          </cell>
        </row>
        <row r="3098">
          <cell r="J3098">
            <v>309818.93999999994</v>
          </cell>
        </row>
        <row r="3099">
          <cell r="J3099">
            <v>314818.93999999994</v>
          </cell>
        </row>
        <row r="3100">
          <cell r="J3100">
            <v>312618.93999999994</v>
          </cell>
        </row>
        <row r="3101">
          <cell r="J3101">
            <v>315618.93999999994</v>
          </cell>
        </row>
        <row r="3102">
          <cell r="J3102">
            <v>312318.93999999994</v>
          </cell>
        </row>
        <row r="3103">
          <cell r="J3103">
            <v>309018.93999999994</v>
          </cell>
        </row>
        <row r="3104">
          <cell r="J3104">
            <v>312618.93999999994</v>
          </cell>
        </row>
        <row r="3105">
          <cell r="J3105">
            <v>314718.93999999994</v>
          </cell>
        </row>
        <row r="3106">
          <cell r="J3106">
            <v>317718.93999999994</v>
          </cell>
        </row>
        <row r="3107">
          <cell r="J3107">
            <v>320718.93999999994</v>
          </cell>
        </row>
        <row r="3108">
          <cell r="J3108">
            <v>323718.93999999994</v>
          </cell>
        </row>
        <row r="3109">
          <cell r="J3109">
            <v>325718.93999999994</v>
          </cell>
        </row>
        <row r="3110">
          <cell r="J3110">
            <v>324718.93999999994</v>
          </cell>
        </row>
        <row r="3111">
          <cell r="J3111">
            <v>319218.93999999994</v>
          </cell>
        </row>
        <row r="3112">
          <cell r="J3112">
            <v>318118.93999999994</v>
          </cell>
        </row>
        <row r="3113">
          <cell r="J3113">
            <v>319118.93999999994</v>
          </cell>
        </row>
        <row r="3114">
          <cell r="J3114">
            <v>315818.93999999994</v>
          </cell>
        </row>
        <row r="3115">
          <cell r="J3115">
            <v>310318.93999999994</v>
          </cell>
        </row>
        <row r="3116">
          <cell r="J3116">
            <v>312318.93999999994</v>
          </cell>
        </row>
        <row r="3117">
          <cell r="J3117">
            <v>315318.93999999994</v>
          </cell>
        </row>
        <row r="3118">
          <cell r="J3118">
            <v>312318.93999999994</v>
          </cell>
        </row>
        <row r="3119">
          <cell r="J3119">
            <v>315318.93999999994</v>
          </cell>
        </row>
        <row r="3120">
          <cell r="J3120">
            <v>312018.93999999994</v>
          </cell>
        </row>
        <row r="3121">
          <cell r="J3121">
            <v>308418.93999999994</v>
          </cell>
        </row>
        <row r="3122">
          <cell r="J3122">
            <v>307318.93999999994</v>
          </cell>
        </row>
        <row r="3123">
          <cell r="J3123">
            <v>312318.93999999994</v>
          </cell>
        </row>
        <row r="3124">
          <cell r="J3124">
            <v>309018.93999999994</v>
          </cell>
        </row>
        <row r="3125">
          <cell r="J3125">
            <v>311018.93999999994</v>
          </cell>
        </row>
        <row r="3126">
          <cell r="J3126">
            <v>316393.93999999994</v>
          </cell>
        </row>
        <row r="3127">
          <cell r="J3127">
            <v>319393.93999999994</v>
          </cell>
        </row>
        <row r="3128">
          <cell r="J3128">
            <v>317193.93999999994</v>
          </cell>
        </row>
        <row r="3129">
          <cell r="J3129">
            <v>320193.93999999994</v>
          </cell>
        </row>
        <row r="3130">
          <cell r="J3130">
            <v>317993.93999999994</v>
          </cell>
        </row>
        <row r="3131">
          <cell r="J3131">
            <v>315493.93999999994</v>
          </cell>
        </row>
        <row r="3132">
          <cell r="J3132">
            <v>320276.54999999993</v>
          </cell>
        </row>
        <row r="3133">
          <cell r="J3133">
            <v>321276.54999999993</v>
          </cell>
        </row>
        <row r="3134">
          <cell r="J3134">
            <v>324151.54999999993</v>
          </cell>
        </row>
        <row r="3135">
          <cell r="J3135">
            <v>326151.54999999993</v>
          </cell>
        </row>
        <row r="3136">
          <cell r="J3136">
            <v>330934.15999999992</v>
          </cell>
        </row>
        <row r="3137">
          <cell r="J3137">
            <v>333934.15999999992</v>
          </cell>
        </row>
        <row r="3138">
          <cell r="J3138">
            <v>331734.15999999992</v>
          </cell>
        </row>
        <row r="3139">
          <cell r="J3139">
            <v>327234.15999999992</v>
          </cell>
        </row>
        <row r="3140">
          <cell r="J3140">
            <v>322834.15999999992</v>
          </cell>
        </row>
        <row r="3141">
          <cell r="J3141">
            <v>321724.15999999992</v>
          </cell>
        </row>
        <row r="3142">
          <cell r="J3142">
            <v>322724.15999999992</v>
          </cell>
        </row>
        <row r="3143">
          <cell r="J3143">
            <v>325724.15999999992</v>
          </cell>
        </row>
        <row r="3144">
          <cell r="J3144">
            <v>329724.15999999992</v>
          </cell>
        </row>
        <row r="3145">
          <cell r="J3145">
            <v>332724.15999999992</v>
          </cell>
        </row>
        <row r="3146">
          <cell r="J3146">
            <v>327224.15999999992</v>
          </cell>
        </row>
        <row r="3147">
          <cell r="J3147">
            <v>331224.15999999992</v>
          </cell>
        </row>
        <row r="3148">
          <cell r="J3148">
            <v>326724.15999999992</v>
          </cell>
        </row>
        <row r="3149">
          <cell r="J3149">
            <v>329724.15999999992</v>
          </cell>
        </row>
        <row r="3150">
          <cell r="J3150">
            <v>324224.15999999992</v>
          </cell>
        </row>
        <row r="3151">
          <cell r="J3151">
            <v>320724.15999999992</v>
          </cell>
        </row>
        <row r="3152">
          <cell r="J3152">
            <v>318524.15999999992</v>
          </cell>
        </row>
        <row r="3153">
          <cell r="J3153">
            <v>320524.15999999992</v>
          </cell>
        </row>
        <row r="3154">
          <cell r="J3154">
            <v>322524.15999999992</v>
          </cell>
        </row>
        <row r="3155">
          <cell r="J3155">
            <v>321424.15999999992</v>
          </cell>
        </row>
        <row r="3156">
          <cell r="J3156">
            <v>323924.15999999992</v>
          </cell>
        </row>
        <row r="3157">
          <cell r="J3157">
            <v>318424.15999999992</v>
          </cell>
        </row>
        <row r="3158">
          <cell r="J3158">
            <v>320337.1999999999</v>
          </cell>
        </row>
        <row r="3159">
          <cell r="J3159">
            <v>323973.55999999988</v>
          </cell>
        </row>
        <row r="3160">
          <cell r="J3160">
            <v>325653.55999999988</v>
          </cell>
        </row>
        <row r="3161">
          <cell r="J3161">
            <v>322353.55999999988</v>
          </cell>
        </row>
        <row r="3162">
          <cell r="J3162">
            <v>319053.55999999988</v>
          </cell>
        </row>
        <row r="3163">
          <cell r="J3163">
            <v>322053.55999999988</v>
          </cell>
        </row>
        <row r="3164">
          <cell r="J3164">
            <v>317653.55999999988</v>
          </cell>
        </row>
        <row r="3165">
          <cell r="J3165">
            <v>312153.55999999988</v>
          </cell>
        </row>
        <row r="3166">
          <cell r="J3166">
            <v>309953.55999999988</v>
          </cell>
        </row>
        <row r="3167">
          <cell r="J3167">
            <v>307753.55999999988</v>
          </cell>
        </row>
        <row r="3168">
          <cell r="J3168">
            <v>304453.55999999988</v>
          </cell>
        </row>
        <row r="3169">
          <cell r="J3169">
            <v>300053.55999999988</v>
          </cell>
        </row>
        <row r="3170">
          <cell r="J3170">
            <v>298953.55999999988</v>
          </cell>
        </row>
        <row r="3171">
          <cell r="J3171">
            <v>301953.55999999988</v>
          </cell>
        </row>
        <row r="3172">
          <cell r="J3172">
            <v>299753.55999999988</v>
          </cell>
        </row>
        <row r="3173">
          <cell r="J3173">
            <v>302753.55999999988</v>
          </cell>
        </row>
        <row r="3174">
          <cell r="J3174">
            <v>305753.55999999988</v>
          </cell>
        </row>
        <row r="3175">
          <cell r="J3175">
            <v>307704.77999999985</v>
          </cell>
        </row>
        <row r="3176">
          <cell r="J3176">
            <v>302204.77999999985</v>
          </cell>
        </row>
        <row r="3177">
          <cell r="J3177">
            <v>300204.77999999985</v>
          </cell>
        </row>
        <row r="3178">
          <cell r="J3178">
            <v>296904.77999999985</v>
          </cell>
        </row>
        <row r="3179">
          <cell r="J3179">
            <v>291404.77999999985</v>
          </cell>
        </row>
        <row r="3180">
          <cell r="J3180">
            <v>289204.77999999985</v>
          </cell>
        </row>
        <row r="3181">
          <cell r="J3181">
            <v>293865.79999999987</v>
          </cell>
        </row>
        <row r="3182">
          <cell r="J3182">
            <v>293365.79999999987</v>
          </cell>
        </row>
        <row r="3183">
          <cell r="J3183">
            <v>293971.79999999987</v>
          </cell>
        </row>
        <row r="3184">
          <cell r="J3184">
            <v>294406.79999999987</v>
          </cell>
        </row>
        <row r="3185">
          <cell r="J3185">
            <v>295456.79999999987</v>
          </cell>
        </row>
        <row r="3186">
          <cell r="J3186">
            <v>297456.79999999987</v>
          </cell>
        </row>
        <row r="3187">
          <cell r="J3187">
            <v>299456.79999999987</v>
          </cell>
        </row>
        <row r="3188">
          <cell r="J3188">
            <v>301456.79999999987</v>
          </cell>
        </row>
        <row r="3189">
          <cell r="J3189">
            <v>299256.79999999987</v>
          </cell>
        </row>
        <row r="3190">
          <cell r="J3190">
            <v>301256.79999999987</v>
          </cell>
        </row>
        <row r="3191">
          <cell r="J3191">
            <v>304256.79999999987</v>
          </cell>
        </row>
        <row r="3192">
          <cell r="J3192">
            <v>306256.79999999987</v>
          </cell>
        </row>
        <row r="3193">
          <cell r="J3193">
            <v>308256.79999999987</v>
          </cell>
        </row>
        <row r="3194">
          <cell r="J3194">
            <v>307156.79999999987</v>
          </cell>
        </row>
        <row r="3195">
          <cell r="J3195">
            <v>302756.79999999987</v>
          </cell>
        </row>
        <row r="3196">
          <cell r="J3196">
            <v>299456.79999999987</v>
          </cell>
        </row>
        <row r="3197">
          <cell r="J3197">
            <v>300456.79999999987</v>
          </cell>
        </row>
        <row r="3198">
          <cell r="J3198">
            <v>302525.76999999984</v>
          </cell>
        </row>
        <row r="3199">
          <cell r="J3199">
            <v>300325.76999999984</v>
          </cell>
        </row>
        <row r="3200">
          <cell r="J3200">
            <v>302325.76999999984</v>
          </cell>
        </row>
        <row r="3201">
          <cell r="J3201">
            <v>300125.76999999984</v>
          </cell>
        </row>
        <row r="3202">
          <cell r="J3202">
            <v>301125.76999999984</v>
          </cell>
        </row>
        <row r="3203">
          <cell r="J3203">
            <v>298925.76999999984</v>
          </cell>
        </row>
        <row r="3204">
          <cell r="J3204">
            <v>296425.76999999984</v>
          </cell>
        </row>
        <row r="3205">
          <cell r="J3205">
            <v>293425.76999999984</v>
          </cell>
        </row>
        <row r="3206">
          <cell r="J3206">
            <v>296425.76999999984</v>
          </cell>
        </row>
        <row r="3207">
          <cell r="J3207">
            <v>301208.37999999983</v>
          </cell>
        </row>
        <row r="3208">
          <cell r="J3208">
            <v>298208.37999999983</v>
          </cell>
        </row>
        <row r="3209">
          <cell r="J3209">
            <v>300208.37999999983</v>
          </cell>
        </row>
        <row r="3210">
          <cell r="J3210">
            <v>301208.37999999983</v>
          </cell>
        </row>
        <row r="3211">
          <cell r="J3211">
            <v>299208.37999999983</v>
          </cell>
        </row>
        <row r="3212">
          <cell r="J3212">
            <v>301208.37999999983</v>
          </cell>
        </row>
        <row r="3213">
          <cell r="J3213">
            <v>302808.37999999983</v>
          </cell>
        </row>
        <row r="3214">
          <cell r="J3214">
            <v>301708.37999999983</v>
          </cell>
        </row>
        <row r="3215">
          <cell r="J3215">
            <v>303708.37999999983</v>
          </cell>
        </row>
        <row r="3216">
          <cell r="J3216">
            <v>300408.37999999983</v>
          </cell>
        </row>
        <row r="3217">
          <cell r="J3217">
            <v>298208.37999999983</v>
          </cell>
        </row>
        <row r="3218">
          <cell r="J3218">
            <v>296008.37999999983</v>
          </cell>
        </row>
        <row r="3219">
          <cell r="J3219">
            <v>296008.37999999983</v>
          </cell>
        </row>
        <row r="3220">
          <cell r="J3220">
            <v>293808.37999999983</v>
          </cell>
        </row>
        <row r="3221">
          <cell r="J3221">
            <v>298808.37999999983</v>
          </cell>
        </row>
        <row r="3222">
          <cell r="J3222">
            <v>296608.37999999983</v>
          </cell>
        </row>
        <row r="3223">
          <cell r="J3223">
            <v>299608.37999999983</v>
          </cell>
        </row>
        <row r="3224">
          <cell r="J3224">
            <v>300608.37999999983</v>
          </cell>
        </row>
        <row r="3225">
          <cell r="J3225">
            <v>298408.37999999983</v>
          </cell>
        </row>
        <row r="3226">
          <cell r="J3226">
            <v>295108.37999999983</v>
          </cell>
        </row>
        <row r="3227">
          <cell r="J3227">
            <v>298708.37999999983</v>
          </cell>
        </row>
        <row r="3228">
          <cell r="J3228">
            <v>295408.37999999983</v>
          </cell>
        </row>
        <row r="3229">
          <cell r="J3229">
            <v>298408.37999999983</v>
          </cell>
        </row>
        <row r="3230">
          <cell r="J3230">
            <v>299408.37999999983</v>
          </cell>
        </row>
        <row r="3231">
          <cell r="J3231">
            <v>297208.37999999983</v>
          </cell>
        </row>
        <row r="3232">
          <cell r="J3232">
            <v>298408.37999999983</v>
          </cell>
        </row>
        <row r="3233">
          <cell r="J3233">
            <v>301408.37999999983</v>
          </cell>
        </row>
        <row r="3234">
          <cell r="J3234">
            <v>305201.47999999981</v>
          </cell>
        </row>
        <row r="3235">
          <cell r="J3235">
            <v>307201.47999999981</v>
          </cell>
        </row>
        <row r="3236">
          <cell r="J3236">
            <v>309296.7199999998</v>
          </cell>
        </row>
        <row r="3237">
          <cell r="J3237">
            <v>311296.7199999998</v>
          </cell>
        </row>
        <row r="3238">
          <cell r="J3238">
            <v>309096.7199999998</v>
          </cell>
        </row>
        <row r="3239">
          <cell r="J3239">
            <v>307996.7199999998</v>
          </cell>
        </row>
        <row r="3240">
          <cell r="J3240">
            <v>305796.7199999998</v>
          </cell>
        </row>
        <row r="3241">
          <cell r="J3241">
            <v>303596.7199999998</v>
          </cell>
        </row>
        <row r="3242">
          <cell r="J3242">
            <v>305596.7199999998</v>
          </cell>
        </row>
        <row r="3243">
          <cell r="J3243">
            <v>308596.7199999998</v>
          </cell>
        </row>
        <row r="3244">
          <cell r="J3244">
            <v>306596.7199999998</v>
          </cell>
        </row>
        <row r="3245">
          <cell r="J3245">
            <v>305596.7199999998</v>
          </cell>
        </row>
        <row r="3246">
          <cell r="J3246">
            <v>307596.7199999998</v>
          </cell>
        </row>
        <row r="3247">
          <cell r="J3247">
            <v>304296.7199999998</v>
          </cell>
        </row>
        <row r="3248">
          <cell r="J3248">
            <v>302096.7199999998</v>
          </cell>
        </row>
        <row r="3249">
          <cell r="J3249">
            <v>297696.7199999998</v>
          </cell>
        </row>
        <row r="3250">
          <cell r="J3250">
            <v>299696.7199999998</v>
          </cell>
        </row>
        <row r="3251">
          <cell r="J3251">
            <v>296396.7199999998</v>
          </cell>
        </row>
        <row r="3252">
          <cell r="J3252">
            <v>299313.7199999998</v>
          </cell>
        </row>
        <row r="3253">
          <cell r="J3253">
            <v>300313.7199999998</v>
          </cell>
        </row>
        <row r="3254">
          <cell r="J3254">
            <v>299813.7199999998</v>
          </cell>
        </row>
        <row r="3255">
          <cell r="J3255">
            <v>302813.7199999998</v>
          </cell>
        </row>
        <row r="3256">
          <cell r="J3256">
            <v>300613.7199999998</v>
          </cell>
        </row>
        <row r="3257">
          <cell r="J3257">
            <v>295113.7199999998</v>
          </cell>
        </row>
        <row r="3258">
          <cell r="J3258">
            <v>297113.7199999998</v>
          </cell>
        </row>
        <row r="3259">
          <cell r="J3259">
            <v>293813.7199999998</v>
          </cell>
        </row>
        <row r="3260">
          <cell r="J3260">
            <v>288313.7199999998</v>
          </cell>
        </row>
        <row r="3261">
          <cell r="J3261">
            <v>291113.7199999998</v>
          </cell>
        </row>
        <row r="3262">
          <cell r="J3262">
            <v>294113.7199999998</v>
          </cell>
        </row>
        <row r="3263">
          <cell r="J3263">
            <v>296386.44999999978</v>
          </cell>
        </row>
        <row r="3264">
          <cell r="J3264">
            <v>299386.44999999978</v>
          </cell>
        </row>
        <row r="3265">
          <cell r="J3265">
            <v>297186.44999999978</v>
          </cell>
        </row>
        <row r="3266">
          <cell r="J3266">
            <v>294186.44999999978</v>
          </cell>
        </row>
        <row r="3267">
          <cell r="J3267">
            <v>297186.44999999978</v>
          </cell>
        </row>
        <row r="3268">
          <cell r="J3268">
            <v>299186.44999999978</v>
          </cell>
        </row>
        <row r="3269">
          <cell r="J3269">
            <v>300436.44999999978</v>
          </cell>
        </row>
        <row r="3270">
          <cell r="J3270">
            <v>297136.44999999978</v>
          </cell>
        </row>
        <row r="3271">
          <cell r="J3271">
            <v>297136.44999999978</v>
          </cell>
        </row>
        <row r="3272">
          <cell r="J3272">
            <v>301036.44999999978</v>
          </cell>
        </row>
        <row r="3273">
          <cell r="J3273">
            <v>303210.35999999975</v>
          </cell>
        </row>
        <row r="3274">
          <cell r="J3274">
            <v>306210.35999999975</v>
          </cell>
        </row>
        <row r="3275">
          <cell r="J3275">
            <v>307210.35999999975</v>
          </cell>
        </row>
        <row r="3276">
          <cell r="J3276">
            <v>307210.35999999975</v>
          </cell>
        </row>
        <row r="3277">
          <cell r="J3277">
            <v>305710.35999999975</v>
          </cell>
        </row>
        <row r="3278">
          <cell r="J3278">
            <v>303510.35999999975</v>
          </cell>
        </row>
        <row r="3279">
          <cell r="J3279">
            <v>306553.83999999973</v>
          </cell>
        </row>
        <row r="3280">
          <cell r="J3280">
            <v>309162.53999999975</v>
          </cell>
        </row>
        <row r="3281">
          <cell r="J3281">
            <v>312462.53999999975</v>
          </cell>
        </row>
        <row r="3282">
          <cell r="J3282">
            <v>316212.53999999975</v>
          </cell>
        </row>
        <row r="3283">
          <cell r="J3283">
            <v>321212.53999999975</v>
          </cell>
        </row>
        <row r="3284">
          <cell r="J3284">
            <v>322212.53999999975</v>
          </cell>
        </row>
        <row r="3285">
          <cell r="J3285">
            <v>325812.53999999975</v>
          </cell>
        </row>
        <row r="3286">
          <cell r="J3286">
            <v>328812.53999999975</v>
          </cell>
        </row>
        <row r="3287">
          <cell r="J3287">
            <v>326312.53999999975</v>
          </cell>
        </row>
        <row r="3288">
          <cell r="J3288">
            <v>324112.53999999975</v>
          </cell>
        </row>
        <row r="3289">
          <cell r="J3289">
            <v>326112.53999999975</v>
          </cell>
        </row>
        <row r="3290">
          <cell r="J3290">
            <v>322912.53999999975</v>
          </cell>
        </row>
        <row r="3291">
          <cell r="J3291">
            <v>325912.53999999975</v>
          </cell>
        </row>
        <row r="3292">
          <cell r="J3292">
            <v>330912.53999999975</v>
          </cell>
        </row>
        <row r="3293">
          <cell r="J3293">
            <v>332912.53999999975</v>
          </cell>
        </row>
        <row r="3294">
          <cell r="J3294">
            <v>335912.53999999975</v>
          </cell>
        </row>
        <row r="3295">
          <cell r="J3295">
            <v>338912.53999999975</v>
          </cell>
        </row>
        <row r="3296">
          <cell r="J3296">
            <v>341912.53999999975</v>
          </cell>
        </row>
        <row r="3297">
          <cell r="J3297">
            <v>343912.53999999975</v>
          </cell>
        </row>
        <row r="3298">
          <cell r="J3298">
            <v>341712.53999999975</v>
          </cell>
        </row>
        <row r="3299">
          <cell r="J3299">
            <v>338412.53999999975</v>
          </cell>
        </row>
        <row r="3300">
          <cell r="J3300">
            <v>338412.53999999975</v>
          </cell>
        </row>
        <row r="3301">
          <cell r="J3301">
            <v>332912.53999999975</v>
          </cell>
        </row>
        <row r="3302">
          <cell r="J3302">
            <v>331812.53999999975</v>
          </cell>
        </row>
        <row r="3303">
          <cell r="J3303">
            <v>328812.53999999975</v>
          </cell>
        </row>
        <row r="3304">
          <cell r="J3304">
            <v>325212.53999999975</v>
          </cell>
        </row>
        <row r="3305">
          <cell r="J3305">
            <v>321712.53999999975</v>
          </cell>
        </row>
        <row r="3306">
          <cell r="J3306">
            <v>323712.53999999975</v>
          </cell>
        </row>
        <row r="3307">
          <cell r="J3307">
            <v>320412.53999999975</v>
          </cell>
        </row>
        <row r="3308">
          <cell r="J3308">
            <v>322412.53999999975</v>
          </cell>
        </row>
        <row r="3309">
          <cell r="J3309">
            <v>322412.53999999975</v>
          </cell>
        </row>
        <row r="3310">
          <cell r="J3310">
            <v>323412.53999999975</v>
          </cell>
        </row>
        <row r="3311">
          <cell r="J3311">
            <v>326412.53999999975</v>
          </cell>
        </row>
        <row r="3312">
          <cell r="J3312">
            <v>328412.53999999975</v>
          </cell>
        </row>
        <row r="3313">
          <cell r="J3313">
            <v>325112.53999999975</v>
          </cell>
        </row>
        <row r="3314">
          <cell r="J3314">
            <v>322912.53999999975</v>
          </cell>
        </row>
        <row r="3315">
          <cell r="J3315">
            <v>319612.53999999975</v>
          </cell>
        </row>
        <row r="3316">
          <cell r="J3316">
            <v>319112.53999999975</v>
          </cell>
        </row>
        <row r="3317">
          <cell r="J3317">
            <v>321112.53999999975</v>
          </cell>
        </row>
        <row r="3318">
          <cell r="J3318">
            <v>320012.53999999975</v>
          </cell>
        </row>
        <row r="3319">
          <cell r="J3319">
            <v>323012.53999999975</v>
          </cell>
        </row>
        <row r="3320">
          <cell r="J3320">
            <v>319712.53999999975</v>
          </cell>
        </row>
        <row r="3321">
          <cell r="J3321">
            <v>322712.53999999975</v>
          </cell>
        </row>
        <row r="3322">
          <cell r="J3322">
            <v>320512.53999999975</v>
          </cell>
        </row>
        <row r="3323">
          <cell r="J3323">
            <v>320512.53999999975</v>
          </cell>
        </row>
        <row r="3324">
          <cell r="J3324">
            <v>320512.53999999975</v>
          </cell>
        </row>
        <row r="3325">
          <cell r="J3325">
            <v>317212.53999999975</v>
          </cell>
        </row>
        <row r="3326">
          <cell r="J3326">
            <v>321141.10999999975</v>
          </cell>
        </row>
        <row r="3327">
          <cell r="J3327">
            <v>317841.10999999975</v>
          </cell>
        </row>
        <row r="3328">
          <cell r="J3328">
            <v>314841.10999999975</v>
          </cell>
        </row>
        <row r="3329">
          <cell r="J3329">
            <v>311541.10999999975</v>
          </cell>
        </row>
        <row r="3330">
          <cell r="J3330">
            <v>309341.10999999975</v>
          </cell>
        </row>
        <row r="3331">
          <cell r="J3331">
            <v>312341.10999999975</v>
          </cell>
        </row>
        <row r="3332">
          <cell r="J3332">
            <v>313341.10999999975</v>
          </cell>
        </row>
        <row r="3333">
          <cell r="J3333">
            <v>316341.10999999975</v>
          </cell>
        </row>
        <row r="3334">
          <cell r="J3334">
            <v>314141.10999999975</v>
          </cell>
        </row>
        <row r="3335">
          <cell r="J3335">
            <v>309741.10999999975</v>
          </cell>
        </row>
        <row r="3336">
          <cell r="J3336">
            <v>310741.10999999975</v>
          </cell>
        </row>
        <row r="3337">
          <cell r="J3337">
            <v>308541.10999999975</v>
          </cell>
        </row>
        <row r="3338">
          <cell r="J3338">
            <v>306341.10999999975</v>
          </cell>
        </row>
        <row r="3339">
          <cell r="J3339">
            <v>309341.10999999975</v>
          </cell>
        </row>
        <row r="3340">
          <cell r="J3340">
            <v>312341.10999999975</v>
          </cell>
        </row>
        <row r="3341">
          <cell r="J3341">
            <v>310141.10999999975</v>
          </cell>
        </row>
        <row r="3342">
          <cell r="J3342">
            <v>306841.10999999975</v>
          </cell>
        </row>
        <row r="3343">
          <cell r="J3343">
            <v>308841.10999999975</v>
          </cell>
        </row>
        <row r="3344">
          <cell r="J3344">
            <v>311841.10999999975</v>
          </cell>
        </row>
        <row r="3345">
          <cell r="J3345">
            <v>314698.24999999977</v>
          </cell>
        </row>
        <row r="3346">
          <cell r="J3346">
            <v>314698.24999999977</v>
          </cell>
        </row>
        <row r="3347">
          <cell r="J3347">
            <v>312498.24999999977</v>
          </cell>
        </row>
        <row r="3348">
          <cell r="J3348">
            <v>310298.24999999977</v>
          </cell>
        </row>
        <row r="3349">
          <cell r="J3349">
            <v>306998.24999999977</v>
          </cell>
        </row>
        <row r="3350">
          <cell r="J3350">
            <v>307998.24999999977</v>
          </cell>
        </row>
        <row r="3351">
          <cell r="J3351">
            <v>305798.24999999977</v>
          </cell>
        </row>
        <row r="3352">
          <cell r="J3352">
            <v>307798.24999999977</v>
          </cell>
        </row>
        <row r="3353">
          <cell r="J3353">
            <v>310798.24999999977</v>
          </cell>
        </row>
        <row r="3354">
          <cell r="J3354">
            <v>312798.24999999977</v>
          </cell>
        </row>
        <row r="3355">
          <cell r="J3355">
            <v>309498.24999999977</v>
          </cell>
        </row>
        <row r="3356">
          <cell r="J3356">
            <v>310498.24999999977</v>
          </cell>
        </row>
        <row r="3357">
          <cell r="J3357">
            <v>313106.94999999978</v>
          </cell>
        </row>
        <row r="3358">
          <cell r="J3358">
            <v>316106.94999999978</v>
          </cell>
        </row>
        <row r="3359">
          <cell r="J3359">
            <v>321106.94999999978</v>
          </cell>
        </row>
        <row r="3360">
          <cell r="J3360">
            <v>323106.94999999978</v>
          </cell>
        </row>
        <row r="3361">
          <cell r="J3361">
            <v>326106.94999999978</v>
          </cell>
        </row>
        <row r="3362">
          <cell r="J3362">
            <v>329106.94999999978</v>
          </cell>
        </row>
        <row r="3363">
          <cell r="J3363">
            <v>325606.94999999978</v>
          </cell>
        </row>
        <row r="3364">
          <cell r="J3364">
            <v>322606.94999999978</v>
          </cell>
        </row>
        <row r="3365">
          <cell r="J3365">
            <v>323656.94999999978</v>
          </cell>
        </row>
        <row r="3366">
          <cell r="J3366">
            <v>326656.94999999978</v>
          </cell>
        </row>
        <row r="3367">
          <cell r="J3367">
            <v>323656.94999999978</v>
          </cell>
        </row>
        <row r="3368">
          <cell r="J3368">
            <v>325475.12999999977</v>
          </cell>
        </row>
        <row r="3369">
          <cell r="J3369">
            <v>328475.12999999977</v>
          </cell>
        </row>
        <row r="3370">
          <cell r="J3370">
            <v>326275.12999999977</v>
          </cell>
        </row>
        <row r="3371">
          <cell r="J3371">
            <v>329275.12999999977</v>
          </cell>
        </row>
        <row r="3372">
          <cell r="J3372">
            <v>330275.12999999977</v>
          </cell>
        </row>
        <row r="3373">
          <cell r="J3373">
            <v>333275.12999999977</v>
          </cell>
        </row>
        <row r="3374">
          <cell r="J3374">
            <v>336753.38999999978</v>
          </cell>
        </row>
        <row r="3375">
          <cell r="J3375">
            <v>338753.38999999978</v>
          </cell>
        </row>
        <row r="3376">
          <cell r="J3376">
            <v>343753.38999999978</v>
          </cell>
        </row>
        <row r="3377">
          <cell r="J3377">
            <v>342653.38999999978</v>
          </cell>
        </row>
        <row r="3378">
          <cell r="J3378">
            <v>343693.38999999978</v>
          </cell>
        </row>
        <row r="3379">
          <cell r="J3379">
            <v>345836.38999999978</v>
          </cell>
        </row>
        <row r="3380">
          <cell r="J3380">
            <v>343336.38999999978</v>
          </cell>
        </row>
        <row r="3381">
          <cell r="J3381">
            <v>346336.38999999978</v>
          </cell>
        </row>
        <row r="3382">
          <cell r="J3382">
            <v>343336.38999999978</v>
          </cell>
        </row>
        <row r="3383">
          <cell r="J3383">
            <v>340036.38999999978</v>
          </cell>
        </row>
        <row r="3384">
          <cell r="J3384">
            <v>338936.38999999978</v>
          </cell>
        </row>
        <row r="3385">
          <cell r="J3385">
            <v>335636.38999999978</v>
          </cell>
        </row>
        <row r="3386">
          <cell r="J3386">
            <v>338969.7199999998</v>
          </cell>
        </row>
        <row r="3387">
          <cell r="J3387">
            <v>336769.7199999998</v>
          </cell>
        </row>
        <row r="3388">
          <cell r="J3388">
            <v>336769.7199999998</v>
          </cell>
        </row>
        <row r="3389">
          <cell r="J3389">
            <v>334569.7199999998</v>
          </cell>
        </row>
        <row r="3390">
          <cell r="J3390">
            <v>336569.7199999998</v>
          </cell>
        </row>
        <row r="3391">
          <cell r="J3391">
            <v>339569.7199999998</v>
          </cell>
        </row>
        <row r="3392">
          <cell r="J3392">
            <v>341690.7199999998</v>
          </cell>
        </row>
        <row r="3393">
          <cell r="J3393">
            <v>338390.7199999998</v>
          </cell>
        </row>
        <row r="3394">
          <cell r="J3394">
            <v>341390.7199999998</v>
          </cell>
        </row>
        <row r="3395">
          <cell r="J3395">
            <v>342390.7199999998</v>
          </cell>
        </row>
        <row r="3396">
          <cell r="J3396">
            <v>346974.04999999981</v>
          </cell>
        </row>
        <row r="3397">
          <cell r="J3397">
            <v>344774.04999999981</v>
          </cell>
        </row>
        <row r="3398">
          <cell r="J3398">
            <v>341474.04999999981</v>
          </cell>
        </row>
        <row r="3399">
          <cell r="J3399">
            <v>344550.9699999998</v>
          </cell>
        </row>
        <row r="3400">
          <cell r="J3400">
            <v>341050.9699999998</v>
          </cell>
        </row>
        <row r="3401">
          <cell r="J3401">
            <v>343050.9699999998</v>
          </cell>
        </row>
        <row r="3402">
          <cell r="J3402">
            <v>345050.9699999998</v>
          </cell>
        </row>
        <row r="3403">
          <cell r="J3403">
            <v>348800.9699999998</v>
          </cell>
        </row>
        <row r="3404">
          <cell r="J3404">
            <v>351800.9699999998</v>
          </cell>
        </row>
        <row r="3405">
          <cell r="J3405">
            <v>351800.9699999998</v>
          </cell>
        </row>
        <row r="3406">
          <cell r="J3406">
            <v>352800.9699999998</v>
          </cell>
        </row>
        <row r="3407">
          <cell r="J3407">
            <v>355800.9699999998</v>
          </cell>
        </row>
        <row r="3408">
          <cell r="J3408">
            <v>358800.9699999998</v>
          </cell>
        </row>
        <row r="3409">
          <cell r="J3409">
            <v>361800.9699999998</v>
          </cell>
        </row>
        <row r="3410">
          <cell r="J3410">
            <v>359600.9699999998</v>
          </cell>
        </row>
        <row r="3411">
          <cell r="J3411">
            <v>361600.9699999998</v>
          </cell>
        </row>
        <row r="3412">
          <cell r="J3412">
            <v>364600.9699999998</v>
          </cell>
        </row>
        <row r="3413">
          <cell r="J3413">
            <v>361300.9699999998</v>
          </cell>
        </row>
        <row r="3414">
          <cell r="J3414">
            <v>363300.9699999998</v>
          </cell>
        </row>
        <row r="3415">
          <cell r="J3415">
            <v>364300.9699999998</v>
          </cell>
        </row>
        <row r="3416">
          <cell r="J3416">
            <v>364300.9699999998</v>
          </cell>
        </row>
        <row r="3417">
          <cell r="J3417">
            <v>364300.9699999998</v>
          </cell>
        </row>
        <row r="3418">
          <cell r="J3418">
            <v>362100.9699999998</v>
          </cell>
        </row>
        <row r="3419">
          <cell r="J3419">
            <v>359100.9699999998</v>
          </cell>
        </row>
        <row r="3420">
          <cell r="J3420">
            <v>356900.9699999998</v>
          </cell>
        </row>
        <row r="3421">
          <cell r="J3421">
            <v>355900.9699999998</v>
          </cell>
        </row>
        <row r="3422">
          <cell r="J3422">
            <v>352600.9699999998</v>
          </cell>
        </row>
        <row r="3423">
          <cell r="J3423">
            <v>356600.9699999998</v>
          </cell>
        </row>
        <row r="3424">
          <cell r="J3424">
            <v>355500.9699999998</v>
          </cell>
        </row>
        <row r="3425">
          <cell r="J3425">
            <v>358500.9699999998</v>
          </cell>
        </row>
        <row r="3426">
          <cell r="J3426">
            <v>361500.9699999998</v>
          </cell>
        </row>
        <row r="3427">
          <cell r="J3427">
            <v>358200.9699999998</v>
          </cell>
        </row>
        <row r="3428">
          <cell r="J3428">
            <v>356000.9699999998</v>
          </cell>
        </row>
        <row r="3429">
          <cell r="J3429">
            <v>358800.9699999998</v>
          </cell>
        </row>
        <row r="3430">
          <cell r="J3430">
            <v>356300.9699999998</v>
          </cell>
        </row>
        <row r="3431">
          <cell r="J3431">
            <v>359300.9699999998</v>
          </cell>
        </row>
        <row r="3432">
          <cell r="J3432">
            <v>353800.9699999998</v>
          </cell>
        </row>
        <row r="3433">
          <cell r="J3433">
            <v>356225.20999999979</v>
          </cell>
        </row>
        <row r="3434">
          <cell r="J3434">
            <v>352925.20999999979</v>
          </cell>
        </row>
        <row r="3435">
          <cell r="J3435">
            <v>349625.20999999979</v>
          </cell>
        </row>
        <row r="3436">
          <cell r="J3436">
            <v>347425.20999999979</v>
          </cell>
        </row>
        <row r="3437">
          <cell r="J3437">
            <v>351499.2799999998</v>
          </cell>
        </row>
        <row r="3438">
          <cell r="J3438">
            <v>349299.2799999998</v>
          </cell>
        </row>
        <row r="3439">
          <cell r="J3439">
            <v>351299.2799999998</v>
          </cell>
        </row>
        <row r="3440">
          <cell r="J3440">
            <v>345799.2799999998</v>
          </cell>
        </row>
        <row r="3441">
          <cell r="J3441">
            <v>346799.2799999998</v>
          </cell>
        </row>
        <row r="3442">
          <cell r="J3442">
            <v>349799.2799999998</v>
          </cell>
        </row>
        <row r="3443">
          <cell r="J3443">
            <v>354799.2799999998</v>
          </cell>
        </row>
        <row r="3444">
          <cell r="J3444">
            <v>357799.2799999998</v>
          </cell>
        </row>
        <row r="3445">
          <cell r="J3445">
            <v>355599.2799999998</v>
          </cell>
        </row>
        <row r="3446">
          <cell r="J3446">
            <v>358599.2799999998</v>
          </cell>
        </row>
        <row r="3447">
          <cell r="J3447">
            <v>356399.2799999998</v>
          </cell>
        </row>
        <row r="3448">
          <cell r="J3448">
            <v>351999.2799999998</v>
          </cell>
        </row>
        <row r="3449">
          <cell r="J3449">
            <v>353999.2799999998</v>
          </cell>
        </row>
        <row r="3450">
          <cell r="J3450">
            <v>354999.2799999998</v>
          </cell>
        </row>
        <row r="3451">
          <cell r="J3451">
            <v>356999.2799999998</v>
          </cell>
        </row>
        <row r="3452">
          <cell r="J3452">
            <v>363874.2799999998</v>
          </cell>
        </row>
        <row r="3453">
          <cell r="J3453">
            <v>360574.2799999998</v>
          </cell>
        </row>
        <row r="3454">
          <cell r="J3454">
            <v>358374.2799999998</v>
          </cell>
        </row>
        <row r="3455">
          <cell r="J3455">
            <v>355074.2799999998</v>
          </cell>
        </row>
        <row r="3456">
          <cell r="J3456">
            <v>355074.2799999998</v>
          </cell>
        </row>
        <row r="3457">
          <cell r="J3457">
            <v>359657.60999999981</v>
          </cell>
        </row>
        <row r="3458">
          <cell r="J3458">
            <v>362657.60999999981</v>
          </cell>
        </row>
        <row r="3459">
          <cell r="J3459">
            <v>362657.60999999981</v>
          </cell>
        </row>
        <row r="3460">
          <cell r="J3460">
            <v>359157.60999999981</v>
          </cell>
        </row>
        <row r="3461">
          <cell r="J3461">
            <v>362157.60999999981</v>
          </cell>
        </row>
        <row r="3462">
          <cell r="J3462">
            <v>364157.60999999981</v>
          </cell>
        </row>
        <row r="3463">
          <cell r="J3463">
            <v>358657.60999999981</v>
          </cell>
        </row>
        <row r="3464">
          <cell r="J3464">
            <v>355157.60999999981</v>
          </cell>
        </row>
        <row r="3465">
          <cell r="J3465">
            <v>360157.60999999981</v>
          </cell>
        </row>
        <row r="3466">
          <cell r="J3466">
            <v>356857.60999999981</v>
          </cell>
        </row>
        <row r="3467">
          <cell r="J3467">
            <v>359031.51999999979</v>
          </cell>
        </row>
        <row r="3468">
          <cell r="J3468">
            <v>357931.51999999979</v>
          </cell>
        </row>
        <row r="3469">
          <cell r="J3469">
            <v>353531.51999999979</v>
          </cell>
        </row>
        <row r="3470">
          <cell r="J3470">
            <v>354531.51999999979</v>
          </cell>
        </row>
        <row r="3471">
          <cell r="J3471">
            <v>357531.51999999979</v>
          </cell>
        </row>
        <row r="3472">
          <cell r="J3472">
            <v>352031.51999999979</v>
          </cell>
        </row>
        <row r="3473">
          <cell r="J3473">
            <v>352531.51999999979</v>
          </cell>
        </row>
        <row r="3474">
          <cell r="J3474">
            <v>351531.51999999979</v>
          </cell>
        </row>
        <row r="3475">
          <cell r="J3475">
            <v>350531.51999999979</v>
          </cell>
        </row>
        <row r="3476">
          <cell r="J3476">
            <v>355114.8499999998</v>
          </cell>
        </row>
        <row r="3477">
          <cell r="J3477">
            <v>354014.8499999998</v>
          </cell>
        </row>
        <row r="3478">
          <cell r="J3478">
            <v>352714.8499999998</v>
          </cell>
        </row>
        <row r="3479">
          <cell r="J3479">
            <v>351064.8499999998</v>
          </cell>
        </row>
        <row r="3480">
          <cell r="J3480">
            <v>349514.8499999998</v>
          </cell>
        </row>
        <row r="3481">
          <cell r="J3481">
            <v>350514.8499999998</v>
          </cell>
        </row>
        <row r="3482">
          <cell r="J3482">
            <v>351514.8499999998</v>
          </cell>
        </row>
        <row r="3483">
          <cell r="J3483">
            <v>352514.8499999998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56"/>
  <sheetViews>
    <sheetView tabSelected="1" zoomScaleNormal="100" workbookViewId="0">
      <selection activeCell="M27" sqref="M27"/>
    </sheetView>
  </sheetViews>
  <sheetFormatPr defaultRowHeight="15" x14ac:dyDescent="0.25"/>
  <cols>
    <col min="1" max="1" width="9" customWidth="1"/>
    <col min="2" max="2" width="7.5703125" customWidth="1"/>
    <col min="3" max="3" width="8.140625" customWidth="1"/>
    <col min="4" max="4" width="52.28515625" customWidth="1"/>
    <col min="5" max="5" width="7.140625" customWidth="1"/>
    <col min="6" max="6" width="6.5703125" customWidth="1"/>
    <col min="7" max="7" width="7.85546875" customWidth="1"/>
    <col min="8" max="8" width="10.85546875" bestFit="1" customWidth="1"/>
    <col min="9" max="9" width="8.85546875" customWidth="1"/>
    <col min="10" max="10" width="15.5703125" customWidth="1"/>
  </cols>
  <sheetData>
    <row r="1" spans="1:10" x14ac:dyDescent="0.25">
      <c r="A1" s="7"/>
      <c r="B1" s="7"/>
      <c r="C1" s="7"/>
      <c r="D1" s="6"/>
      <c r="E1" s="6"/>
      <c r="F1" s="6"/>
      <c r="G1" s="26"/>
      <c r="H1" s="28" t="s">
        <v>43</v>
      </c>
      <c r="I1" s="29"/>
      <c r="J1" s="30"/>
    </row>
    <row r="2" spans="1:10" x14ac:dyDescent="0.25">
      <c r="A2" s="6"/>
      <c r="B2" s="6"/>
      <c r="C2" s="6"/>
      <c r="D2" s="6"/>
      <c r="E2" s="6"/>
      <c r="F2" s="6"/>
      <c r="G2" s="26"/>
      <c r="H2" s="31"/>
      <c r="I2" s="32"/>
      <c r="J2" s="33"/>
    </row>
    <row r="3" spans="1:10" x14ac:dyDescent="0.25">
      <c r="A3" s="6"/>
      <c r="B3" s="6"/>
      <c r="C3" s="6"/>
      <c r="D3" s="6"/>
      <c r="E3" s="6"/>
      <c r="F3" s="6"/>
      <c r="G3" s="26"/>
      <c r="H3" s="31"/>
      <c r="I3" s="32"/>
      <c r="J3" s="33"/>
    </row>
    <row r="4" spans="1:10" x14ac:dyDescent="0.25">
      <c r="A4" s="6"/>
      <c r="B4" s="6"/>
      <c r="C4" s="6"/>
      <c r="D4" s="6"/>
      <c r="E4" s="6"/>
      <c r="F4" s="6"/>
      <c r="G4" s="26"/>
      <c r="H4" s="31"/>
      <c r="I4" s="32"/>
      <c r="J4" s="33"/>
    </row>
    <row r="5" spans="1:10" x14ac:dyDescent="0.25">
      <c r="A5" s="6"/>
      <c r="B5" s="6"/>
      <c r="C5" s="6"/>
      <c r="D5" s="6"/>
      <c r="E5" s="6"/>
      <c r="F5" s="6"/>
      <c r="G5" s="26"/>
      <c r="H5" s="31"/>
      <c r="I5" s="32"/>
      <c r="J5" s="33"/>
    </row>
    <row r="6" spans="1:10" x14ac:dyDescent="0.25">
      <c r="A6" s="6"/>
      <c r="B6" s="6"/>
      <c r="C6" s="6"/>
      <c r="D6" s="6"/>
      <c r="E6" s="6"/>
      <c r="F6" s="6"/>
      <c r="G6" s="26"/>
      <c r="H6" s="31"/>
      <c r="I6" s="32"/>
      <c r="J6" s="33"/>
    </row>
    <row r="7" spans="1:10" x14ac:dyDescent="0.25">
      <c r="A7" s="6"/>
      <c r="B7" s="6"/>
      <c r="C7" s="6"/>
      <c r="D7" s="6"/>
      <c r="E7" s="6"/>
      <c r="F7" s="6"/>
      <c r="G7" s="26"/>
      <c r="H7" s="31"/>
      <c r="I7" s="32"/>
      <c r="J7" s="33"/>
    </row>
    <row r="8" spans="1:10" ht="15.75" thickBot="1" x14ac:dyDescent="0.3">
      <c r="A8" s="6"/>
      <c r="B8" s="6"/>
      <c r="C8" s="6"/>
      <c r="D8" s="6"/>
      <c r="E8" s="6"/>
      <c r="F8" s="6"/>
      <c r="G8" s="26"/>
      <c r="H8" s="34"/>
      <c r="I8" s="35"/>
      <c r="J8" s="36"/>
    </row>
    <row r="9" spans="1:10" x14ac:dyDescent="0.25">
      <c r="H9" s="37" t="s">
        <v>39</v>
      </c>
      <c r="I9" s="38" t="s">
        <v>40</v>
      </c>
      <c r="J9" s="39" t="s">
        <v>41</v>
      </c>
    </row>
    <row r="10" spans="1:10" x14ac:dyDescent="0.25">
      <c r="H10" s="40" t="s">
        <v>27</v>
      </c>
      <c r="I10" s="41">
        <v>0.20519999999999999</v>
      </c>
      <c r="J10" s="46">
        <f>I10*100000</f>
        <v>20520</v>
      </c>
    </row>
    <row r="11" spans="1:10" x14ac:dyDescent="0.25">
      <c r="H11" s="42" t="s">
        <v>28</v>
      </c>
      <c r="I11" s="41">
        <v>0.14050000000000001</v>
      </c>
      <c r="J11" s="46">
        <f t="shared" ref="J11:J21" si="0">I11*100000</f>
        <v>14050.000000000002</v>
      </c>
    </row>
    <row r="12" spans="1:10" x14ac:dyDescent="0.25">
      <c r="H12" s="42" t="s">
        <v>29</v>
      </c>
      <c r="I12" s="41">
        <v>1.6404000000000001</v>
      </c>
      <c r="J12" s="46">
        <f t="shared" si="0"/>
        <v>164040</v>
      </c>
    </row>
    <row r="13" spans="1:10" x14ac:dyDescent="0.25">
      <c r="H13" s="42" t="s">
        <v>30</v>
      </c>
      <c r="I13" s="41">
        <v>6.13E-2</v>
      </c>
      <c r="J13" s="46">
        <f t="shared" si="0"/>
        <v>6130</v>
      </c>
    </row>
    <row r="14" spans="1:10" x14ac:dyDescent="0.25">
      <c r="H14" s="42" t="s">
        <v>31</v>
      </c>
      <c r="I14" s="41">
        <v>-5.6500000000000002E-2</v>
      </c>
      <c r="J14" s="46">
        <f t="shared" si="0"/>
        <v>-5650</v>
      </c>
    </row>
    <row r="15" spans="1:10" x14ac:dyDescent="0.25">
      <c r="H15" s="42" t="s">
        <v>32</v>
      </c>
      <c r="I15" s="41">
        <v>0.65759999999999996</v>
      </c>
      <c r="J15" s="46">
        <f t="shared" si="0"/>
        <v>65760</v>
      </c>
    </row>
    <row r="16" spans="1:10" x14ac:dyDescent="0.25">
      <c r="H16" s="42" t="s">
        <v>33</v>
      </c>
      <c r="I16" s="41">
        <v>2.01E-2</v>
      </c>
      <c r="J16" s="46">
        <f t="shared" si="0"/>
        <v>2010</v>
      </c>
    </row>
    <row r="17" spans="1:11" x14ac:dyDescent="0.25">
      <c r="H17" s="42" t="s">
        <v>34</v>
      </c>
      <c r="I17" s="41">
        <v>0.55000000000000004</v>
      </c>
      <c r="J17" s="46">
        <f t="shared" si="0"/>
        <v>55000.000000000007</v>
      </c>
      <c r="K17" s="5"/>
    </row>
    <row r="18" spans="1:11" x14ac:dyDescent="0.25">
      <c r="H18" s="42" t="s">
        <v>35</v>
      </c>
      <c r="I18" s="41">
        <v>-0.49700000000000005</v>
      </c>
      <c r="J18" s="46">
        <f t="shared" si="0"/>
        <v>-49700.000000000007</v>
      </c>
    </row>
    <row r="19" spans="1:11" x14ac:dyDescent="0.25">
      <c r="H19" s="42" t="s">
        <v>36</v>
      </c>
      <c r="I19" s="41">
        <v>0.56069999999999998</v>
      </c>
      <c r="J19" s="46">
        <f t="shared" si="0"/>
        <v>56070</v>
      </c>
    </row>
    <row r="20" spans="1:11" ht="20.25" customHeight="1" x14ac:dyDescent="0.25">
      <c r="H20" s="42" t="s">
        <v>37</v>
      </c>
      <c r="I20" s="41">
        <v>-0.30790000000000001</v>
      </c>
      <c r="J20" s="46">
        <f t="shared" si="0"/>
        <v>-30790</v>
      </c>
    </row>
    <row r="21" spans="1:11" ht="19.5" customHeight="1" x14ac:dyDescent="0.25">
      <c r="H21" s="42" t="s">
        <v>38</v>
      </c>
      <c r="I21" s="41">
        <v>0.55059999999999998</v>
      </c>
      <c r="J21" s="46">
        <f t="shared" si="0"/>
        <v>55060</v>
      </c>
    </row>
    <row r="22" spans="1:11" ht="15.75" thickBot="1" x14ac:dyDescent="0.3">
      <c r="H22" s="43" t="s">
        <v>42</v>
      </c>
      <c r="I22" s="44">
        <f>AVERAGE(I10:I21)</f>
        <v>0.29375000000000001</v>
      </c>
      <c r="J22" s="45">
        <f>AVERAGE(J10:J21)</f>
        <v>29375</v>
      </c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5.25" customHeight="1" thickBo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ht="63" customHeight="1" thickBot="1" x14ac:dyDescent="0.3">
      <c r="A36" s="22" t="s">
        <v>0</v>
      </c>
      <c r="B36" s="23" t="s">
        <v>13</v>
      </c>
      <c r="C36" s="23" t="s">
        <v>14</v>
      </c>
      <c r="D36" s="23" t="s">
        <v>15</v>
      </c>
      <c r="E36" s="24" t="s">
        <v>44</v>
      </c>
      <c r="F36" s="23" t="s">
        <v>1</v>
      </c>
      <c r="G36" s="23" t="s">
        <v>16</v>
      </c>
      <c r="H36" s="23" t="s">
        <v>45</v>
      </c>
      <c r="I36" s="24" t="s">
        <v>19</v>
      </c>
      <c r="J36" s="25" t="s">
        <v>17</v>
      </c>
    </row>
    <row r="37" spans="1:10" x14ac:dyDescent="0.25">
      <c r="A37" s="8" t="s">
        <v>21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25">
      <c r="A38" s="10">
        <v>44234.78125</v>
      </c>
      <c r="B38" s="11" t="s">
        <v>2</v>
      </c>
      <c r="C38" s="11" t="s">
        <v>3</v>
      </c>
      <c r="D38" s="12" t="str">
        <f>HYPERLINK("https://freddywills.com/pick/7726/nfl-prop-play-1-guaranteed-profit-or-back-just-2.html", "Fournette Over 3.5 receptions -120 1.2% play ")</f>
        <v xml:space="preserve">Fournette Over 3.5 receptions -120 1.2% play </v>
      </c>
      <c r="E38" s="11">
        <v>1.2</v>
      </c>
      <c r="F38" s="11">
        <v>-1.2</v>
      </c>
      <c r="G38" s="11" t="s">
        <v>4</v>
      </c>
      <c r="H38" s="13">
        <v>1000</v>
      </c>
      <c r="I38" s="14">
        <f t="shared" ref="I38:I101" si="1">H38/100000+I39</f>
        <v>0.55058050000000003</v>
      </c>
      <c r="J38" s="15">
        <f>SUM(H38:H5023)</f>
        <v>352514.8499999998</v>
      </c>
    </row>
    <row r="39" spans="1:10" x14ac:dyDescent="0.25">
      <c r="A39" s="10">
        <v>44234.78125</v>
      </c>
      <c r="B39" s="11" t="s">
        <v>2</v>
      </c>
      <c r="C39" s="11" t="s">
        <v>3</v>
      </c>
      <c r="D39" s="12" t="str">
        <f>HYPERLINK("https://freddywills.com/pick/7727/nfl-prop-2-only-2-guaranteed-or-back.html", "Mahomes O21.5 rushing yards -120 1.2% ")</f>
        <v xml:space="preserve">Mahomes O21.5 rushing yards -120 1.2% </v>
      </c>
      <c r="E39" s="11">
        <v>1.2</v>
      </c>
      <c r="F39" s="11">
        <v>-1.2</v>
      </c>
      <c r="G39" s="11" t="s">
        <v>4</v>
      </c>
      <c r="H39" s="13">
        <v>1000</v>
      </c>
      <c r="I39" s="14">
        <f t="shared" si="1"/>
        <v>0.54058050000000002</v>
      </c>
      <c r="J39" s="13">
        <f t="shared" ref="J39:J102" si="2">H39+J40</f>
        <v>351514.8499999998</v>
      </c>
    </row>
    <row r="40" spans="1:10" x14ac:dyDescent="0.25">
      <c r="A40" s="10">
        <v>44234.78125</v>
      </c>
      <c r="B40" s="11" t="s">
        <v>2</v>
      </c>
      <c r="C40" s="11" t="s">
        <v>3</v>
      </c>
      <c r="D40" s="12" t="str">
        <f>HYPERLINK("https://freddywills.com/pick/7728/nfl-super-bowl-prop-3-guaranteed-or-back.html", "Under 6.5 punts for the game -130 1.3% play ")</f>
        <v xml:space="preserve">Under 6.5 punts for the game -130 1.3% play </v>
      </c>
      <c r="E40" s="11">
        <v>1.3</v>
      </c>
      <c r="F40" s="11">
        <v>-1.3</v>
      </c>
      <c r="G40" s="11" t="s">
        <v>4</v>
      </c>
      <c r="H40" s="13">
        <v>1000</v>
      </c>
      <c r="I40" s="14">
        <f t="shared" si="1"/>
        <v>0.53058050000000001</v>
      </c>
      <c r="J40" s="13">
        <f t="shared" si="2"/>
        <v>350514.8499999998</v>
      </c>
    </row>
    <row r="41" spans="1:10" x14ac:dyDescent="0.25">
      <c r="A41" s="10">
        <v>44234.777777777781</v>
      </c>
      <c r="B41" s="11" t="s">
        <v>2</v>
      </c>
      <c r="C41" s="11" t="s">
        <v>5</v>
      </c>
      <c r="D41" s="12" t="str">
        <f>HYPERLINK("https://freddywills.com/pick/7732/5-5-max-nfl-pod-69-35-169-091-l-104-max-rated-nfl-picks-11-3-ats-this-year-on-5-5-nfl-pod-s.html", "Tampa +3.5 -120 - buy 1/2 - I got -120 @looselines 5.5% NFL POD")</f>
        <v>Tampa +3.5 -120 - buy 1/2 - I got -120 @looselines 5.5% NFL POD</v>
      </c>
      <c r="E41" s="11">
        <v>5.5</v>
      </c>
      <c r="F41" s="11">
        <v>-1.2</v>
      </c>
      <c r="G41" s="11" t="s">
        <v>4</v>
      </c>
      <c r="H41" s="13">
        <v>4583.33</v>
      </c>
      <c r="I41" s="14">
        <f t="shared" si="1"/>
        <v>0.5205805</v>
      </c>
      <c r="J41" s="13">
        <f t="shared" si="2"/>
        <v>349514.8499999998</v>
      </c>
    </row>
    <row r="42" spans="1:10" x14ac:dyDescent="0.25">
      <c r="A42" s="10">
        <v>44234.777777777781</v>
      </c>
      <c r="B42" s="11" t="s">
        <v>2</v>
      </c>
      <c r="C42" s="11" t="s">
        <v>5</v>
      </c>
      <c r="D42" s="12" t="str">
        <f>HYPERLINK("https://freddywills.com/pick/7733/nfl-free-play-on-the-total-1-1-play-67-35-44-645-l-102-nfl-free-picks.html", "Chiefs / Bucs Over 56 1.1% play ")</f>
        <v xml:space="preserve">Chiefs / Bucs Over 56 1.1% play </v>
      </c>
      <c r="E42" s="11">
        <v>1.1000000000000001</v>
      </c>
      <c r="F42" s="11">
        <v>-1.1000000000000001</v>
      </c>
      <c r="G42" s="11" t="s">
        <v>6</v>
      </c>
      <c r="H42" s="13">
        <v>-1100</v>
      </c>
      <c r="I42" s="14">
        <f t="shared" si="1"/>
        <v>0.47474719999999998</v>
      </c>
      <c r="J42" s="13">
        <f t="shared" si="2"/>
        <v>344931.51999999979</v>
      </c>
    </row>
    <row r="43" spans="1:10" x14ac:dyDescent="0.25">
      <c r="A43" s="10">
        <v>44234.777777777781</v>
      </c>
      <c r="B43" s="11" t="s">
        <v>2</v>
      </c>
      <c r="C43" s="11" t="s">
        <v>5</v>
      </c>
      <c r="D43" s="12" t="str">
        <f>HYPERLINK("https://freddywills.com/pick/7734/nfl-prop-play-7-guaranteed-or-back-only-2.html", "NO roughing the QB penalty -130 1.3% play ")</f>
        <v xml:space="preserve">NO roughing the QB penalty -130 1.3% play </v>
      </c>
      <c r="E43" s="11">
        <v>1.3</v>
      </c>
      <c r="F43" s="11">
        <v>-1.3</v>
      </c>
      <c r="G43" s="11" t="s">
        <v>6</v>
      </c>
      <c r="H43" s="13">
        <v>-1300</v>
      </c>
      <c r="I43" s="14">
        <f t="shared" si="1"/>
        <v>0.48574719999999999</v>
      </c>
      <c r="J43" s="13">
        <f t="shared" si="2"/>
        <v>346031.51999999979</v>
      </c>
    </row>
    <row r="44" spans="1:10" x14ac:dyDescent="0.25">
      <c r="A44" s="10">
        <v>44234.777777777781</v>
      </c>
      <c r="B44" s="11" t="s">
        <v>2</v>
      </c>
      <c r="C44" s="11" t="s">
        <v>5</v>
      </c>
      <c r="D44" s="12" t="str">
        <f>HYPERLINK("https://freddywills.com/pick/7735/nfl-prop-play-8-guaranteed-or-back.html", "Tampa O5.5 third down conversions 1.65% play ")</f>
        <v xml:space="preserve">Tampa O5.5 third down conversions 1.65% play </v>
      </c>
      <c r="E44" s="11">
        <v>1.65</v>
      </c>
      <c r="F44" s="11">
        <v>-1.1000000000000001</v>
      </c>
      <c r="G44" s="11" t="s">
        <v>6</v>
      </c>
      <c r="H44" s="13">
        <v>-1650</v>
      </c>
      <c r="I44" s="14">
        <f t="shared" si="1"/>
        <v>0.4987472</v>
      </c>
      <c r="J44" s="13">
        <f t="shared" si="2"/>
        <v>347331.51999999979</v>
      </c>
    </row>
    <row r="45" spans="1:10" x14ac:dyDescent="0.25">
      <c r="A45" s="10">
        <v>44234.777777777781</v>
      </c>
      <c r="B45" s="11" t="s">
        <v>2</v>
      </c>
      <c r="C45" s="11" t="s">
        <v>3</v>
      </c>
      <c r="D45" s="12" t="str">
        <f>HYPERLINK("https://freddywills.com/pick/7736/1-55-nfl-prop-play-guaranteed-or-back-2.html", "2ND Half+OT more points than 1st Half -155 1.55% play")</f>
        <v>2ND Half+OT more points than 1st Half -155 1.55% play</v>
      </c>
      <c r="E45" s="11">
        <v>1.55</v>
      </c>
      <c r="F45" s="11">
        <v>-1.55</v>
      </c>
      <c r="G45" s="11" t="s">
        <v>6</v>
      </c>
      <c r="H45" s="13">
        <v>-1550</v>
      </c>
      <c r="I45" s="14">
        <f t="shared" si="1"/>
        <v>0.51524720000000002</v>
      </c>
      <c r="J45" s="13">
        <f t="shared" si="2"/>
        <v>348981.51999999979</v>
      </c>
    </row>
    <row r="46" spans="1:10" x14ac:dyDescent="0.25">
      <c r="A46" s="10">
        <v>44234.770833333336</v>
      </c>
      <c r="B46" s="11" t="s">
        <v>2</v>
      </c>
      <c r="C46" s="11" t="s">
        <v>3</v>
      </c>
      <c r="D46" s="12" t="str">
        <f>HYPERLINK("https://freddywills.com/pick/7729/nfl-super-bowl-prop-play-4-guaranteed-or-back.html", "Chris Godwin O78.5 receiving yards +100 1% play ")</f>
        <v xml:space="preserve">Chris Godwin O78.5 receiving yards +100 1% play </v>
      </c>
      <c r="E46" s="11">
        <v>1</v>
      </c>
      <c r="F46" s="11">
        <v>1</v>
      </c>
      <c r="G46" s="11" t="s">
        <v>6</v>
      </c>
      <c r="H46" s="13">
        <v>-1000</v>
      </c>
      <c r="I46" s="14">
        <f t="shared" si="1"/>
        <v>0.53074719999999997</v>
      </c>
      <c r="J46" s="13">
        <f t="shared" si="2"/>
        <v>350531.51999999979</v>
      </c>
    </row>
    <row r="47" spans="1:10" x14ac:dyDescent="0.25">
      <c r="A47" s="10">
        <v>44234.770833333336</v>
      </c>
      <c r="B47" s="11" t="s">
        <v>2</v>
      </c>
      <c r="C47" s="11" t="s">
        <v>3</v>
      </c>
      <c r="D47" s="12" t="str">
        <f>HYPERLINK("https://freddywills.com/pick/7730/nfl-super-bowl-prop-4-free.html", "Hardiman longest reception O14.5 yards 1.1%")</f>
        <v>Hardiman longest reception O14.5 yards 1.1%</v>
      </c>
      <c r="E47" s="11">
        <v>1</v>
      </c>
      <c r="F47" s="11">
        <v>-1.1000000000000001</v>
      </c>
      <c r="G47" s="11" t="s">
        <v>6</v>
      </c>
      <c r="H47" s="13">
        <v>-1000</v>
      </c>
      <c r="I47" s="14">
        <f t="shared" si="1"/>
        <v>0.54074719999999998</v>
      </c>
      <c r="J47" s="13">
        <f t="shared" si="2"/>
        <v>351531.51999999979</v>
      </c>
    </row>
    <row r="48" spans="1:10" x14ac:dyDescent="0.25">
      <c r="A48" s="10">
        <v>44234.73333333333</v>
      </c>
      <c r="B48" s="11" t="s">
        <v>2</v>
      </c>
      <c r="C48" s="11" t="s">
        <v>3</v>
      </c>
      <c r="D48" s="16" t="str">
        <f>HYPERLINK("https://freddywills.com/pick/7731/nfl-prop-play-55-play.html", "Gronk over 30.5 receiving yards 0.55% play")</f>
        <v>Gronk over 30.5 receiving yards 0.55% play</v>
      </c>
      <c r="E48" s="11">
        <v>0.55000000000000004</v>
      </c>
      <c r="F48" s="11">
        <v>-1.1000000000000001</v>
      </c>
      <c r="G48" s="11" t="s">
        <v>4</v>
      </c>
      <c r="H48" s="13">
        <v>500</v>
      </c>
      <c r="I48" s="14">
        <f t="shared" si="1"/>
        <v>0.55074719999999999</v>
      </c>
      <c r="J48" s="13">
        <f t="shared" si="2"/>
        <v>352531.51999999979</v>
      </c>
    </row>
    <row r="49" spans="1:10" x14ac:dyDescent="0.25">
      <c r="A49" s="10">
        <v>44220.777777777781</v>
      </c>
      <c r="B49" s="11" t="s">
        <v>2</v>
      </c>
      <c r="C49" s="11" t="s">
        <v>5</v>
      </c>
      <c r="D49" s="16" t="str">
        <f>HYPERLINK("https://freddywills.com/pick/7725/5-5-max-nfl-pod-69-34-174-591-l-103-max-rated-nfl-picks-since-2015-guaranteed-or-back.html", "Bills +3 5.5% NFL POD")</f>
        <v>Bills +3 5.5% NFL POD</v>
      </c>
      <c r="E49" s="11">
        <v>5.5</v>
      </c>
      <c r="F49" s="11">
        <v>-1.1000000000000001</v>
      </c>
      <c r="G49" s="11" t="s">
        <v>6</v>
      </c>
      <c r="H49" s="13">
        <v>-5500</v>
      </c>
      <c r="I49" s="14">
        <f t="shared" si="1"/>
        <v>0.54574719999999999</v>
      </c>
      <c r="J49" s="13">
        <f t="shared" si="2"/>
        <v>352031.51999999979</v>
      </c>
    </row>
    <row r="50" spans="1:10" x14ac:dyDescent="0.25">
      <c r="A50" s="10">
        <v>44220.631944444445</v>
      </c>
      <c r="B50" s="11" t="s">
        <v>2</v>
      </c>
      <c r="C50" s="11" t="s">
        <v>5</v>
      </c>
      <c r="D50" s="16" t="str">
        <f>HYPERLINK("https://freddywills.com/pick/7723/3-3-nfl-play-bucs-vs-packers-guaranteed-or-back-91-65-67-497-l-156-nfl-3-bankroll.html", "Tampa +4 3.3% play ")</f>
        <v xml:space="preserve">Tampa +4 3.3% play </v>
      </c>
      <c r="E50" s="11">
        <v>3.3</v>
      </c>
      <c r="F50" s="11">
        <v>-1.1000000000000001</v>
      </c>
      <c r="G50" s="11" t="s">
        <v>4</v>
      </c>
      <c r="H50" s="13">
        <v>3000</v>
      </c>
      <c r="I50" s="14">
        <f t="shared" si="1"/>
        <v>0.60074720000000004</v>
      </c>
      <c r="J50" s="13">
        <f t="shared" si="2"/>
        <v>357531.51999999979</v>
      </c>
    </row>
    <row r="51" spans="1:10" x14ac:dyDescent="0.25">
      <c r="A51" s="10">
        <v>44220.628472222219</v>
      </c>
      <c r="B51" s="11" t="s">
        <v>2</v>
      </c>
      <c r="C51" s="11" t="s">
        <v>3</v>
      </c>
      <c r="D51" s="12" t="str">
        <f>HYPERLINK("https://freddywills.com/pick/7724/1-1-free-nfl-pick-prop-play-66-35-43-645-l-101-nfl-free-picks.html", "Scotty Miller O25 receiving yards 1.1% ")</f>
        <v xml:space="preserve">Scotty Miller O25 receiving yards 1.1% </v>
      </c>
      <c r="E51" s="11">
        <v>1.1000000000000001</v>
      </c>
      <c r="F51" s="11">
        <v>-1.1000000000000001</v>
      </c>
      <c r="G51" s="11" t="s">
        <v>4</v>
      </c>
      <c r="H51" s="13">
        <v>1000</v>
      </c>
      <c r="I51" s="14">
        <f t="shared" si="1"/>
        <v>0.57074720000000001</v>
      </c>
      <c r="J51" s="13">
        <f t="shared" si="2"/>
        <v>354531.51999999979</v>
      </c>
    </row>
    <row r="52" spans="1:10" x14ac:dyDescent="0.25">
      <c r="A52" s="10">
        <v>44213.777777777781</v>
      </c>
      <c r="B52" s="11" t="s">
        <v>2</v>
      </c>
      <c r="C52" s="11" t="s">
        <v>5</v>
      </c>
      <c r="D52" s="16" t="str">
        <f>HYPERLINK("https://freddywills.com/pick/7721/68-47-48-517-l-115-all-sports-4-4-nfl-pod-guaranteed-or-back.html", "Saints -3 4.4% NFL POD ")</f>
        <v xml:space="preserve">Saints -3 4.4% NFL POD </v>
      </c>
      <c r="E52" s="11">
        <v>4.4000000000000004</v>
      </c>
      <c r="F52" s="11">
        <v>-1.1000000000000001</v>
      </c>
      <c r="G52" s="11" t="s">
        <v>6</v>
      </c>
      <c r="H52" s="13">
        <v>-4400</v>
      </c>
      <c r="I52" s="14">
        <f t="shared" si="1"/>
        <v>0.5607472</v>
      </c>
      <c r="J52" s="13">
        <f t="shared" si="2"/>
        <v>353531.51999999979</v>
      </c>
    </row>
    <row r="53" spans="1:10" x14ac:dyDescent="0.25">
      <c r="A53" s="10">
        <v>44213.69027777778</v>
      </c>
      <c r="B53" s="11" t="s">
        <v>2</v>
      </c>
      <c r="C53" s="11" t="s">
        <v>7</v>
      </c>
      <c r="D53" s="16" t="str">
        <f>HYPERLINK("https://freddywills.com/pick/7722/2nd-half-play-chiefs-vs-browns.html", "Chiefs/ Browns 2H Over 27.5 1.1% play ")</f>
        <v xml:space="preserve">Chiefs/ Browns 2H Over 27.5 1.1% play </v>
      </c>
      <c r="E53" s="11">
        <v>1.1000000000000001</v>
      </c>
      <c r="F53" s="11">
        <v>-1.1000000000000001</v>
      </c>
      <c r="G53" s="11" t="s">
        <v>6</v>
      </c>
      <c r="H53" s="13">
        <v>-1100</v>
      </c>
      <c r="I53" s="14">
        <f t="shared" si="1"/>
        <v>0.60474720000000004</v>
      </c>
      <c r="J53" s="13">
        <f t="shared" si="2"/>
        <v>357931.51999999979</v>
      </c>
    </row>
    <row r="54" spans="1:10" x14ac:dyDescent="0.25">
      <c r="A54" s="10">
        <v>44213.628472222219</v>
      </c>
      <c r="B54" s="11" t="s">
        <v>2</v>
      </c>
      <c r="C54" s="11" t="s">
        <v>7</v>
      </c>
      <c r="D54" s="16" t="str">
        <f>HYPERLINK("https://freddywills.com/pick/7717/18-10-16-435-l-28-over-all-sports-3-3-nfl-total-of-the-week.html", "Browns/Chiefs O56.5 3.3% play ")</f>
        <v xml:space="preserve">Browns/Chiefs O56.5 3.3% play </v>
      </c>
      <c r="E54" s="11">
        <v>3.3</v>
      </c>
      <c r="F54" s="11">
        <v>-1.1000000000000001</v>
      </c>
      <c r="G54" s="11" t="s">
        <v>6</v>
      </c>
      <c r="H54" s="13">
        <v>-3300</v>
      </c>
      <c r="I54" s="14">
        <f t="shared" si="1"/>
        <v>0.61574720000000005</v>
      </c>
      <c r="J54" s="13">
        <f t="shared" si="2"/>
        <v>359031.51999999979</v>
      </c>
    </row>
    <row r="55" spans="1:10" x14ac:dyDescent="0.25">
      <c r="A55" s="10">
        <v>44213.628472222219</v>
      </c>
      <c r="B55" s="11" t="s">
        <v>2</v>
      </c>
      <c r="C55" s="11" t="s">
        <v>5</v>
      </c>
      <c r="D55" s="16" t="str">
        <f>HYPERLINK("https://freddywills.com/pick/7720/browns-vs-chiefs-side-play-68-47-48-517-l-115-all-sports.html", "Browns +10 -115 2.5% play ")</f>
        <v xml:space="preserve">Browns +10 -115 2.5% play </v>
      </c>
      <c r="E55" s="11">
        <v>2.5</v>
      </c>
      <c r="F55" s="11">
        <v>-1.1499999999999999</v>
      </c>
      <c r="G55" s="11" t="s">
        <v>4</v>
      </c>
      <c r="H55" s="13">
        <v>2173.91</v>
      </c>
      <c r="I55" s="14">
        <f t="shared" si="1"/>
        <v>0.64874720000000008</v>
      </c>
      <c r="J55" s="13">
        <f t="shared" si="2"/>
        <v>362331.51999999979</v>
      </c>
    </row>
    <row r="56" spans="1:10" x14ac:dyDescent="0.25">
      <c r="A56" s="10">
        <v>44212.850694444445</v>
      </c>
      <c r="B56" s="11" t="s">
        <v>2</v>
      </c>
      <c r="C56" s="11" t="s">
        <v>5</v>
      </c>
      <c r="D56" s="16" t="str">
        <f>HYPERLINK("https://freddywills.com/pick/7718/5-5-max-nfl-pod-68-34-last-102-max-pod.html", "Bills -2.5 5.5% NFL POD")</f>
        <v>Bills -2.5 5.5% NFL POD</v>
      </c>
      <c r="E56" s="11">
        <v>5.5</v>
      </c>
      <c r="F56" s="11">
        <v>-1.1000000000000001</v>
      </c>
      <c r="G56" s="11" t="s">
        <v>4</v>
      </c>
      <c r="H56" s="13">
        <v>5000</v>
      </c>
      <c r="I56" s="14">
        <f t="shared" si="1"/>
        <v>0.62700810000000007</v>
      </c>
      <c r="J56" s="13">
        <f t="shared" si="2"/>
        <v>360157.60999999981</v>
      </c>
    </row>
    <row r="57" spans="1:10" x14ac:dyDescent="0.25">
      <c r="A57" s="10">
        <v>44212.690972222219</v>
      </c>
      <c r="B57" s="11" t="s">
        <v>2</v>
      </c>
      <c r="C57" s="11" t="s">
        <v>5</v>
      </c>
      <c r="D57" s="16" t="str">
        <f>HYPERLINK("https://freddywills.com/pick/7719/3-5-nfl-play-rams-vs-packers-guaranteed-or-back-75-49-66-719-l-124-nfl-3-bankroll.html", "Rams +7 -120 3.5% play ")</f>
        <v xml:space="preserve">Rams +7 -120 3.5% play </v>
      </c>
      <c r="E57" s="11">
        <v>3.5</v>
      </c>
      <c r="F57" s="11">
        <v>-1.2</v>
      </c>
      <c r="G57" s="11" t="s">
        <v>6</v>
      </c>
      <c r="H57" s="13">
        <v>-3500</v>
      </c>
      <c r="I57" s="14">
        <f t="shared" si="1"/>
        <v>0.57700810000000002</v>
      </c>
      <c r="J57" s="13">
        <f t="shared" si="2"/>
        <v>355157.60999999981</v>
      </c>
    </row>
    <row r="58" spans="1:10" x14ac:dyDescent="0.25">
      <c r="A58" s="10">
        <v>44207.847222222219</v>
      </c>
      <c r="B58" s="11" t="s">
        <v>8</v>
      </c>
      <c r="C58" s="11" t="s">
        <v>5</v>
      </c>
      <c r="D58" s="16" t="str">
        <f>HYPERLINK("https://freddywills.com/pick/7700/5-5-ncaaf-pod-national-championship-10-2-lifetime-in-national-championship-games.html", "Ohio State +8.5 5.5% NCAAF POD")</f>
        <v>Ohio State +8.5 5.5% NCAAF POD</v>
      </c>
      <c r="E58" s="11">
        <v>5.5</v>
      </c>
      <c r="F58" s="11">
        <v>-1.1000000000000001</v>
      </c>
      <c r="G58" s="11" t="s">
        <v>6</v>
      </c>
      <c r="H58" s="13">
        <v>-5500</v>
      </c>
      <c r="I58" s="14">
        <f t="shared" si="1"/>
        <v>0.61200810000000005</v>
      </c>
      <c r="J58" s="13">
        <f t="shared" si="2"/>
        <v>358657.60999999981</v>
      </c>
    </row>
    <row r="59" spans="1:10" x14ac:dyDescent="0.25">
      <c r="A59" s="10">
        <v>44206.847222222219</v>
      </c>
      <c r="B59" s="11" t="s">
        <v>2</v>
      </c>
      <c r="C59" s="11" t="s">
        <v>5</v>
      </c>
      <c r="D59" s="16" t="str">
        <f>HYPERLINK("https://freddywills.com/pick/7716/browns-vs-steelers-2-2-play-guaranteed-or-back.html", "Browns +5.5 2.2% play ")</f>
        <v xml:space="preserve">Browns +5.5 2.2% play </v>
      </c>
      <c r="E59" s="11">
        <v>2.2000000000000002</v>
      </c>
      <c r="F59" s="11">
        <v>-1.1000000000000001</v>
      </c>
      <c r="G59" s="11" t="s">
        <v>4</v>
      </c>
      <c r="H59" s="13">
        <v>2000</v>
      </c>
      <c r="I59" s="14">
        <f t="shared" si="1"/>
        <v>0.6670081000000001</v>
      </c>
      <c r="J59" s="13">
        <f t="shared" si="2"/>
        <v>364157.60999999981</v>
      </c>
    </row>
    <row r="60" spans="1:10" x14ac:dyDescent="0.25">
      <c r="A60" s="10">
        <v>44206.694444444445</v>
      </c>
      <c r="B60" s="11" t="s">
        <v>2</v>
      </c>
      <c r="C60" s="11" t="s">
        <v>5</v>
      </c>
      <c r="D60" s="16" t="str">
        <f>HYPERLINK("https://freddywills.com/pick/7714/bears-vs-saints-guaranteed-or-back-74-48-last-122-3-nfl-plays.html", "Saints -10 3.3% play ")</f>
        <v xml:space="preserve">Saints -10 3.3% play </v>
      </c>
      <c r="E60" s="11">
        <v>3.3</v>
      </c>
      <c r="F60" s="11">
        <v>-1.1000000000000001</v>
      </c>
      <c r="G60" s="11" t="s">
        <v>4</v>
      </c>
      <c r="H60" s="13">
        <v>3000</v>
      </c>
      <c r="I60" s="14">
        <f t="shared" si="1"/>
        <v>0.64700810000000009</v>
      </c>
      <c r="J60" s="13">
        <f t="shared" si="2"/>
        <v>362157.60999999981</v>
      </c>
    </row>
    <row r="61" spans="1:10" x14ac:dyDescent="0.25">
      <c r="A61" s="10">
        <v>44206.545138888891</v>
      </c>
      <c r="B61" s="11" t="s">
        <v>2</v>
      </c>
      <c r="C61" s="11" t="s">
        <v>5</v>
      </c>
      <c r="D61" s="16" t="str">
        <f>HYPERLINK("https://freddywills.com/pick/7715/titans-vs-ravens-3-5-play-guaranteed-or-back-74-48-67-219-l-122-nfl-3-bankroll.html", "Titans +3.5 -120 3.5% play ")</f>
        <v xml:space="preserve">Titans +3.5 -120 3.5% play </v>
      </c>
      <c r="E61" s="11">
        <v>3.5</v>
      </c>
      <c r="F61" s="11">
        <v>-1.2</v>
      </c>
      <c r="G61" s="11" t="s">
        <v>6</v>
      </c>
      <c r="H61" s="13">
        <v>-3500</v>
      </c>
      <c r="I61" s="14">
        <f t="shared" si="1"/>
        <v>0.61700810000000006</v>
      </c>
      <c r="J61" s="13">
        <f t="shared" si="2"/>
        <v>359157.60999999981</v>
      </c>
    </row>
    <row r="62" spans="1:10" x14ac:dyDescent="0.25">
      <c r="A62" s="10">
        <v>44205.847222222219</v>
      </c>
      <c r="B62" s="11" t="s">
        <v>2</v>
      </c>
      <c r="C62" s="11" t="s">
        <v>5</v>
      </c>
      <c r="D62" s="16" t="str">
        <f>HYPERLINK("https://freddywills.com/pick/7713/1-1-free-nfl-pick-saturday-62-31-45-427-l-93-nfl-free-picks-9-1-this-year.html", "Washington Football Team +8 1.1% Free Play ")</f>
        <v xml:space="preserve">Washington Football Team +8 1.1% Free Play </v>
      </c>
      <c r="E62" s="11">
        <v>1.1000000000000001</v>
      </c>
      <c r="F62" s="11">
        <v>-1.1000000000000001</v>
      </c>
      <c r="G62" s="11" t="s">
        <v>9</v>
      </c>
      <c r="H62" s="13">
        <v>0</v>
      </c>
      <c r="I62" s="14">
        <f t="shared" si="1"/>
        <v>0.65200810000000009</v>
      </c>
      <c r="J62" s="13">
        <f t="shared" si="2"/>
        <v>362657.60999999981</v>
      </c>
    </row>
    <row r="63" spans="1:10" x14ac:dyDescent="0.25">
      <c r="A63" s="10">
        <v>44205.694444444445</v>
      </c>
      <c r="B63" s="11" t="s">
        <v>2</v>
      </c>
      <c r="C63" s="11" t="s">
        <v>5</v>
      </c>
      <c r="D63" s="16" t="str">
        <f>HYPERLINK("https://freddywills.com/pick/7710/3-3-nfl-play-rams-vs-seahawks-73-48-64-219-l-121-nfl-3-bankroll-plays.html", "Rams +4 3.3% play ")</f>
        <v xml:space="preserve">Rams +4 3.3% play </v>
      </c>
      <c r="E63" s="11">
        <v>3.3</v>
      </c>
      <c r="F63" s="11">
        <v>-1.1000000000000001</v>
      </c>
      <c r="G63" s="11" t="s">
        <v>4</v>
      </c>
      <c r="H63" s="13">
        <v>3000</v>
      </c>
      <c r="I63" s="14">
        <f t="shared" si="1"/>
        <v>0.65200810000000009</v>
      </c>
      <c r="J63" s="13">
        <f t="shared" si="2"/>
        <v>362657.60999999981</v>
      </c>
    </row>
    <row r="64" spans="1:10" x14ac:dyDescent="0.25">
      <c r="A64" s="10">
        <v>44205.545138888891</v>
      </c>
      <c r="B64" s="11" t="s">
        <v>2</v>
      </c>
      <c r="C64" s="11" t="s">
        <v>5</v>
      </c>
      <c r="D64" s="16" t="str">
        <f>HYPERLINK("https://freddywills.com/pick/7711/5-5-nfl-pod-67-34-165-008-l-101-max-rated-nfl-picks-guaranteed-or-back.html", "Colts +7 -120 buy 1/2 5.5% NFL POD")</f>
        <v>Colts +7 -120 buy 1/2 5.5% NFL POD</v>
      </c>
      <c r="E64" s="11">
        <v>5.5</v>
      </c>
      <c r="F64" s="11">
        <v>-1.2</v>
      </c>
      <c r="G64" s="11" t="s">
        <v>4</v>
      </c>
      <c r="H64" s="13">
        <v>4583.33</v>
      </c>
      <c r="I64" s="14">
        <f t="shared" si="1"/>
        <v>0.62200810000000006</v>
      </c>
      <c r="J64" s="13">
        <f t="shared" si="2"/>
        <v>359657.60999999981</v>
      </c>
    </row>
    <row r="65" spans="1:10" x14ac:dyDescent="0.25">
      <c r="A65" s="10">
        <v>44205.541666666664</v>
      </c>
      <c r="B65" s="11" t="s">
        <v>2</v>
      </c>
      <c r="C65" s="11" t="s">
        <v>5</v>
      </c>
      <c r="D65" s="16" t="str">
        <f>HYPERLINK("https://freddywills.com/pick/7712/nfl-total-of-the-day-guarnateed-or-back-16-8-14-635-l-24-over-all-sports.html", "Colts / Bills O51 3.3% play ")</f>
        <v xml:space="preserve">Colts / Bills O51 3.3% play </v>
      </c>
      <c r="E65" s="11">
        <v>3.3</v>
      </c>
      <c r="F65" s="11">
        <v>-1.1000000000000001</v>
      </c>
      <c r="G65" s="11" t="s">
        <v>9</v>
      </c>
      <c r="H65" s="13">
        <v>0</v>
      </c>
      <c r="I65" s="14">
        <f t="shared" si="1"/>
        <v>0.5761748000000001</v>
      </c>
      <c r="J65" s="13">
        <f t="shared" si="2"/>
        <v>355074.2799999998</v>
      </c>
    </row>
    <row r="66" spans="1:10" x14ac:dyDescent="0.25">
      <c r="A66" s="10">
        <v>44199.847222222219</v>
      </c>
      <c r="B66" s="11" t="s">
        <v>2</v>
      </c>
      <c r="C66" s="11" t="s">
        <v>5</v>
      </c>
      <c r="D66" s="16" t="str">
        <f>HYPERLINK("https://freddywills.com/pick/7705/73-46-70-819-l-119-nfl-3-bankroll-plays-sunday-night-eagles-vs-redskins-guaranteed-or-bac.html", "Eagles +4 3.3% play ")</f>
        <v xml:space="preserve">Eagles +4 3.3% play </v>
      </c>
      <c r="E66" s="11">
        <v>3.3</v>
      </c>
      <c r="F66" s="11">
        <v>-1.1000000000000001</v>
      </c>
      <c r="G66" s="11" t="s">
        <v>6</v>
      </c>
      <c r="H66" s="13">
        <v>-3300</v>
      </c>
      <c r="I66" s="14">
        <f t="shared" si="1"/>
        <v>0.5761748000000001</v>
      </c>
      <c r="J66" s="13">
        <f t="shared" si="2"/>
        <v>355074.2799999998</v>
      </c>
    </row>
    <row r="67" spans="1:10" x14ac:dyDescent="0.25">
      <c r="A67" s="10">
        <v>44199.684027777781</v>
      </c>
      <c r="B67" s="11" t="s">
        <v>2</v>
      </c>
      <c r="C67" s="11" t="s">
        <v>18</v>
      </c>
      <c r="D67" s="16" t="str">
        <f>HYPERLINK("https://freddywills.com/pick/7706/5-5-max-nfl-pod-ml-dog-play-66-34-158-133-l-100-max-rated-nfl-picks.html", "Rams +125 5.5% NFL POD")</f>
        <v>Rams +125 5.5% NFL POD</v>
      </c>
      <c r="E67" s="11">
        <v>5.5</v>
      </c>
      <c r="F67" s="11">
        <v>1.25</v>
      </c>
      <c r="G67" s="11" t="s">
        <v>4</v>
      </c>
      <c r="H67" s="13">
        <v>6875</v>
      </c>
      <c r="I67" s="14">
        <f t="shared" si="1"/>
        <v>0.60917480000000013</v>
      </c>
      <c r="J67" s="13">
        <f t="shared" si="2"/>
        <v>358374.2799999998</v>
      </c>
    </row>
    <row r="68" spans="1:10" x14ac:dyDescent="0.25">
      <c r="A68" s="10">
        <v>44199.684027777781</v>
      </c>
      <c r="B68" s="11" t="s">
        <v>2</v>
      </c>
      <c r="C68" s="11" t="s">
        <v>5</v>
      </c>
      <c r="D68" s="16" t="str">
        <f>HYPERLINK("https://freddywills.com/pick/7707/3-3-play-packers-vs-bears-32-24-41-530-l-56-nfl-picks-in-january.html", "Bears +4.5 3.3% play ")</f>
        <v xml:space="preserve">Bears +4.5 3.3% play </v>
      </c>
      <c r="E68" s="11">
        <v>3.3</v>
      </c>
      <c r="F68" s="11">
        <v>-1.1000000000000001</v>
      </c>
      <c r="G68" s="11" t="s">
        <v>6</v>
      </c>
      <c r="H68" s="13">
        <v>-3300</v>
      </c>
      <c r="I68" s="14">
        <f t="shared" si="1"/>
        <v>0.54042480000000015</v>
      </c>
      <c r="J68" s="13">
        <f t="shared" si="2"/>
        <v>351499.2799999998</v>
      </c>
    </row>
    <row r="69" spans="1:10" x14ac:dyDescent="0.25">
      <c r="A69" s="10">
        <v>44199.684027777781</v>
      </c>
      <c r="B69" s="11" t="s">
        <v>2</v>
      </c>
      <c r="C69" s="11" t="s">
        <v>5</v>
      </c>
      <c r="D69" s="16" t="str">
        <f>HYPERLINK("https://freddywills.com/pick/7709/panthers-vs-saints-guaranteed-or-back.html", "Panthers +6 2.2%")</f>
        <v>Panthers +6 2.2%</v>
      </c>
      <c r="E69" s="11">
        <v>2.2000000000000002</v>
      </c>
      <c r="F69" s="11">
        <v>-1.1000000000000001</v>
      </c>
      <c r="G69" s="11" t="s">
        <v>6</v>
      </c>
      <c r="H69" s="13">
        <v>-2200</v>
      </c>
      <c r="I69" s="14">
        <f t="shared" si="1"/>
        <v>0.57342480000000018</v>
      </c>
      <c r="J69" s="13">
        <f t="shared" si="2"/>
        <v>354799.2799999998</v>
      </c>
    </row>
    <row r="70" spans="1:10" x14ac:dyDescent="0.25">
      <c r="A70" s="10">
        <v>44199.541666666664</v>
      </c>
      <c r="B70" s="11" t="s">
        <v>2</v>
      </c>
      <c r="C70" s="11" t="s">
        <v>5</v>
      </c>
      <c r="D70" s="16" t="str">
        <f>HYPERLINK("https://freddywills.com/pick/7702/4-4-teaser-of-the-week-guaranteed-or-back-21-11-28-000-l-32-nfl-teasers.html", "Giants +7.5 / Dolphins +7.5 4.4% NFL Teaser")</f>
        <v>Giants +7.5 / Dolphins +7.5 4.4% NFL Teaser</v>
      </c>
      <c r="E70" s="11">
        <v>4.4000000000000004</v>
      </c>
      <c r="F70" s="11">
        <v>-1.1000000000000001</v>
      </c>
      <c r="G70" s="11" t="s">
        <v>6</v>
      </c>
      <c r="H70" s="13">
        <v>-4400</v>
      </c>
      <c r="I70" s="14">
        <f t="shared" si="1"/>
        <v>0.5954248000000002</v>
      </c>
      <c r="J70" s="13">
        <f t="shared" si="2"/>
        <v>356999.2799999998</v>
      </c>
    </row>
    <row r="71" spans="1:10" x14ac:dyDescent="0.25">
      <c r="A71" s="10">
        <v>44199.541666666664</v>
      </c>
      <c r="B71" s="11" t="s">
        <v>2</v>
      </c>
      <c r="C71" s="11" t="s">
        <v>5</v>
      </c>
      <c r="D71" s="16" t="str">
        <f>HYPERLINK("https://freddywills.com/pick/7703/steelers-vs-browns-guaranteed-or-back-2-2-play.html", "Steelers +10 2.2% play ")</f>
        <v xml:space="preserve">Steelers +10 2.2% play </v>
      </c>
      <c r="E71" s="11">
        <v>2.2000000000000002</v>
      </c>
      <c r="F71" s="11">
        <v>-1.1000000000000001</v>
      </c>
      <c r="G71" s="11" t="s">
        <v>4</v>
      </c>
      <c r="H71" s="13">
        <v>2000</v>
      </c>
      <c r="I71" s="14">
        <f t="shared" si="1"/>
        <v>0.63942480000000024</v>
      </c>
      <c r="J71" s="13">
        <f t="shared" si="2"/>
        <v>361399.2799999998</v>
      </c>
    </row>
    <row r="72" spans="1:10" x14ac:dyDescent="0.25">
      <c r="A72" s="10">
        <v>44199.541666666664</v>
      </c>
      <c r="B72" s="11" t="s">
        <v>2</v>
      </c>
      <c r="C72" s="11" t="s">
        <v>5</v>
      </c>
      <c r="D72" s="16" t="str">
        <f>HYPERLINK("https://freddywills.com/pick/7704/1-1-free-play-jaguars-vs-colts-62-31-last-93-free-nfl-picks.html", "Jaguars +14.5 1.1% Free Play ")</f>
        <v xml:space="preserve">Jaguars +14.5 1.1% Free Play </v>
      </c>
      <c r="E72" s="11">
        <v>1.1000000000000001</v>
      </c>
      <c r="F72" s="11">
        <v>-1.1000000000000001</v>
      </c>
      <c r="G72" s="11" t="s">
        <v>4</v>
      </c>
      <c r="H72" s="13">
        <v>1000</v>
      </c>
      <c r="I72" s="14">
        <f t="shared" si="1"/>
        <v>0.61942480000000022</v>
      </c>
      <c r="J72" s="13">
        <f t="shared" si="2"/>
        <v>359399.2799999998</v>
      </c>
    </row>
    <row r="73" spans="1:10" x14ac:dyDescent="0.25">
      <c r="A73" s="10">
        <v>44199.541666666664</v>
      </c>
      <c r="B73" s="11" t="s">
        <v>2</v>
      </c>
      <c r="C73" s="11" t="s">
        <v>7</v>
      </c>
      <c r="D73" s="16" t="str">
        <f>HYPERLINK("https://freddywills.com/pick/7708/nfl-total-of-the-week-guaranteed-or-back-jets-vs-patriots-18-10-16-435-l-28-over-all-sport.html", "Jets/Pats O40.5 2.2% play ")</f>
        <v xml:space="preserve">Jets/Pats O40.5 2.2% play </v>
      </c>
      <c r="E73" s="11">
        <v>2.2000000000000002</v>
      </c>
      <c r="F73" s="11">
        <v>-1.1000000000000001</v>
      </c>
      <c r="G73" s="11" t="s">
        <v>4</v>
      </c>
      <c r="H73" s="13">
        <v>2000</v>
      </c>
      <c r="I73" s="14">
        <f t="shared" si="1"/>
        <v>0.60942480000000021</v>
      </c>
      <c r="J73" s="13">
        <f t="shared" si="2"/>
        <v>358399.2799999998</v>
      </c>
    </row>
    <row r="74" spans="1:10" x14ac:dyDescent="0.25">
      <c r="A74" s="10">
        <v>44198.833333333336</v>
      </c>
      <c r="B74" s="11" t="s">
        <v>8</v>
      </c>
      <c r="C74" s="11" t="s">
        <v>5</v>
      </c>
      <c r="D74" s="16" t="str">
        <f>HYPERLINK("https://freddywills.com/pick/7701/texasam-vs-unc-play-guaranteed-or-back-68-58-37-138-l-126-all-sports-picks-in-january.html", "North Carolina +10 2.2% play ")</f>
        <v xml:space="preserve">North Carolina +10 2.2% play </v>
      </c>
      <c r="E74" s="11">
        <v>2.2000000000000002</v>
      </c>
      <c r="F74" s="11">
        <v>-1.1000000000000001</v>
      </c>
      <c r="G74" s="11" t="s">
        <v>6</v>
      </c>
      <c r="H74" s="13">
        <v>-2200</v>
      </c>
      <c r="I74" s="14">
        <f t="shared" si="1"/>
        <v>0.58942480000000019</v>
      </c>
      <c r="J74" s="13">
        <f t="shared" si="2"/>
        <v>356399.2799999998</v>
      </c>
    </row>
    <row r="75" spans="1:10" x14ac:dyDescent="0.25">
      <c r="A75" s="10">
        <v>44198.666666666664</v>
      </c>
      <c r="B75" s="11" t="s">
        <v>8</v>
      </c>
      <c r="C75" s="11" t="s">
        <v>5</v>
      </c>
      <c r="D75" s="16" t="str">
        <f>HYPERLINK("https://freddywills.com/pick/7698/iowast-vs-oregon-guaranteed-or-back-68-57-42-638-l-125-all-sports-picks-in-january.html", "Iowa State -4.5 3.3% play ")</f>
        <v xml:space="preserve">Iowa State -4.5 3.3% play </v>
      </c>
      <c r="E75" s="11">
        <v>3.3</v>
      </c>
      <c r="F75" s="11">
        <v>-1.1000000000000001</v>
      </c>
      <c r="G75" s="11" t="s">
        <v>4</v>
      </c>
      <c r="H75" s="13">
        <v>3000</v>
      </c>
      <c r="I75" s="14">
        <f t="shared" si="1"/>
        <v>0.61142480000000021</v>
      </c>
      <c r="J75" s="13">
        <f t="shared" si="2"/>
        <v>358599.2799999998</v>
      </c>
    </row>
    <row r="76" spans="1:10" x14ac:dyDescent="0.25">
      <c r="A76" s="10">
        <v>44198.5</v>
      </c>
      <c r="B76" s="11" t="s">
        <v>8</v>
      </c>
      <c r="C76" s="11" t="s">
        <v>5</v>
      </c>
      <c r="D76" s="16" t="str">
        <f>HYPERLINK("https://freddywills.com/pick/7699/kentucky-vs-nc-state-early-bird-special-guaranteed-or-back.html", "Kentucky -2.5 2.2% play ")</f>
        <v xml:space="preserve">Kentucky -2.5 2.2% play </v>
      </c>
      <c r="E76" s="11">
        <v>2.2000000000000002</v>
      </c>
      <c r="F76" s="11">
        <v>-1.1000000000000001</v>
      </c>
      <c r="G76" s="11" t="s">
        <v>6</v>
      </c>
      <c r="H76" s="13">
        <v>-2200</v>
      </c>
      <c r="I76" s="14">
        <f t="shared" si="1"/>
        <v>0.58142480000000019</v>
      </c>
      <c r="J76" s="13">
        <f t="shared" si="2"/>
        <v>355599.2799999998</v>
      </c>
    </row>
    <row r="77" spans="1:10" x14ac:dyDescent="0.25">
      <c r="A77" s="10">
        <v>44197.833333333336</v>
      </c>
      <c r="B77" s="11" t="s">
        <v>8</v>
      </c>
      <c r="C77" s="11" t="s">
        <v>5</v>
      </c>
      <c r="D77" s="16" t="str">
        <f>HYPERLINK("https://freddywills.com/pick/7694/5-5-ncaaf-pod-clemson-vs-ohio-state-guaranteed-or-back-110-77-161-335-l-187-max-rated-al.html", "Ohio State +7.5 5.5% NCAAF POD")</f>
        <v>Ohio State +7.5 5.5% NCAAF POD</v>
      </c>
      <c r="E77" s="11">
        <v>5.5</v>
      </c>
      <c r="F77" s="11">
        <v>-1.1000000000000001</v>
      </c>
      <c r="G77" s="11" t="s">
        <v>4</v>
      </c>
      <c r="H77" s="13">
        <v>5000</v>
      </c>
      <c r="I77" s="14">
        <f t="shared" si="1"/>
        <v>0.60342480000000021</v>
      </c>
      <c r="J77" s="13">
        <f t="shared" si="2"/>
        <v>357799.2799999998</v>
      </c>
    </row>
    <row r="78" spans="1:10" x14ac:dyDescent="0.25">
      <c r="A78" s="10">
        <v>44197.833333333336</v>
      </c>
      <c r="B78" s="11" t="s">
        <v>8</v>
      </c>
      <c r="C78" s="11" t="s">
        <v>7</v>
      </c>
      <c r="D78" s="16" t="str">
        <f>HYPERLINK("https://freddywills.com/pick/7695/clemson-vs-ohio-state-total-play-guaranteed-or-back.html", "Clemson / Ohio St Over 66.5 3.3% ")</f>
        <v xml:space="preserve">Clemson / Ohio St Over 66.5 3.3% </v>
      </c>
      <c r="E78" s="11">
        <v>3.3</v>
      </c>
      <c r="F78" s="11">
        <v>-1.1000000000000001</v>
      </c>
      <c r="G78" s="11" t="s">
        <v>4</v>
      </c>
      <c r="H78" s="13">
        <v>3000</v>
      </c>
      <c r="I78" s="14">
        <f t="shared" si="1"/>
        <v>0.55342480000000016</v>
      </c>
      <c r="J78" s="13">
        <f t="shared" si="2"/>
        <v>352799.2799999998</v>
      </c>
    </row>
    <row r="79" spans="1:10" x14ac:dyDescent="0.25">
      <c r="A79" s="10">
        <v>44197.666666666664</v>
      </c>
      <c r="B79" s="11" t="s">
        <v>8</v>
      </c>
      <c r="C79" s="11" t="s">
        <v>5</v>
      </c>
      <c r="D79" s="16" t="str">
        <f>HYPERLINK("https://freddywills.com/pick/7697/3-3-play-notre-dame-vs-alabama-guaranteed-or-back-59-48-26-296-l-107-ncaaf-picks-in-janua.html", "Notre Dame +19.5 3.3% play")</f>
        <v>Notre Dame +19.5 3.3% play</v>
      </c>
      <c r="E79" s="11">
        <v>3.3</v>
      </c>
      <c r="F79" s="11">
        <v>-1.1000000000000001</v>
      </c>
      <c r="G79" s="11" t="s">
        <v>4</v>
      </c>
      <c r="H79" s="13">
        <v>3000</v>
      </c>
      <c r="I79" s="14">
        <f t="shared" si="1"/>
        <v>0.52342480000000013</v>
      </c>
      <c r="J79" s="13">
        <f t="shared" si="2"/>
        <v>349799.2799999998</v>
      </c>
    </row>
    <row r="80" spans="1:10" x14ac:dyDescent="0.25">
      <c r="A80" s="10">
        <v>44197.541666666664</v>
      </c>
      <c r="B80" s="11" t="s">
        <v>8</v>
      </c>
      <c r="C80" s="11" t="s">
        <v>5</v>
      </c>
      <c r="D80" s="16" t="str">
        <f>HYPERLINK("https://freddywills.com/pick/7696/1-1-free-play-auburn-vs-northwestern-56-39-9-363-l-95-ncaaf-free-picks.html", "Northwestern -4.5 1.1% Free Play ")</f>
        <v xml:space="preserve">Northwestern -4.5 1.1% Free Play </v>
      </c>
      <c r="E80" s="11">
        <v>1.1000000000000001</v>
      </c>
      <c r="F80" s="11">
        <v>-1.1000000000000001</v>
      </c>
      <c r="G80" s="11" t="s">
        <v>4</v>
      </c>
      <c r="H80" s="13">
        <v>1000</v>
      </c>
      <c r="I80" s="14">
        <f t="shared" si="1"/>
        <v>0.49342480000000016</v>
      </c>
      <c r="J80" s="13">
        <f t="shared" si="2"/>
        <v>346799.2799999998</v>
      </c>
    </row>
    <row r="81" spans="1:10" x14ac:dyDescent="0.25">
      <c r="A81" s="10">
        <v>44197.5</v>
      </c>
      <c r="B81" s="11" t="s">
        <v>8</v>
      </c>
      <c r="C81" s="11" t="s">
        <v>5</v>
      </c>
      <c r="D81" s="16" t="str">
        <f>HYPERLINK("https://freddywills.com/pick/7693/5-5-max-ncaaf-pod-peachbowl-guaranteed-or-back-110-77-161-335-l-187-max-rated-all-sports-pi.html", "Georgia -7 5.5% NCAAF POD")</f>
        <v>Georgia -7 5.5% NCAAF POD</v>
      </c>
      <c r="E81" s="11">
        <v>5.5</v>
      </c>
      <c r="F81" s="11">
        <v>-1.1000000000000001</v>
      </c>
      <c r="G81" s="11" t="s">
        <v>6</v>
      </c>
      <c r="H81" s="13">
        <v>-5500</v>
      </c>
      <c r="I81" s="14">
        <f t="shared" si="1"/>
        <v>0.48342480000000015</v>
      </c>
      <c r="J81" s="13">
        <f t="shared" si="2"/>
        <v>345799.2799999998</v>
      </c>
    </row>
    <row r="82" spans="1:10" x14ac:dyDescent="0.25">
      <c r="A82" s="10">
        <v>44196.666666666664</v>
      </c>
      <c r="B82" s="11" t="s">
        <v>8</v>
      </c>
      <c r="C82" s="11" t="s">
        <v>5</v>
      </c>
      <c r="D82" s="16" t="str">
        <f>HYPERLINK("https://freddywills.com/pick/7691/army-vs-west-virginia-guaranteed-or-back-108-92-97-005-l-200-ncaaf-picks-in-december.html", "Army +7 2.2% play")</f>
        <v>Army +7 2.2% play</v>
      </c>
      <c r="E82" s="11">
        <v>2.2000000000000002</v>
      </c>
      <c r="F82" s="11">
        <v>-1.1000000000000001</v>
      </c>
      <c r="G82" s="11" t="s">
        <v>4</v>
      </c>
      <c r="H82" s="13">
        <v>2000</v>
      </c>
      <c r="I82" s="14">
        <f t="shared" si="1"/>
        <v>0.53842480000000015</v>
      </c>
      <c r="J82" s="13">
        <f t="shared" si="2"/>
        <v>351299.2799999998</v>
      </c>
    </row>
    <row r="83" spans="1:10" x14ac:dyDescent="0.25">
      <c r="A83" s="10">
        <v>44196.5</v>
      </c>
      <c r="B83" s="11" t="s">
        <v>8</v>
      </c>
      <c r="C83" s="11" t="s">
        <v>7</v>
      </c>
      <c r="D83" s="16" t="str">
        <f>HYPERLINK("https://freddywills.com/pick/7692/miss-state-vs-tulsa-guaranteed-or-back-108-92-97-005-l-200-ncaaf-picks-in-december.html", "Tulsa / Miss State Under 46 2.2% play ")</f>
        <v xml:space="preserve">Tulsa / Miss State Under 46 2.2% play </v>
      </c>
      <c r="E83" s="11">
        <v>2.2000000000000002</v>
      </c>
      <c r="F83" s="11">
        <v>-1.1000000000000001</v>
      </c>
      <c r="G83" s="11" t="s">
        <v>6</v>
      </c>
      <c r="H83" s="13">
        <v>-2200</v>
      </c>
      <c r="I83" s="14">
        <f t="shared" si="1"/>
        <v>0.51842480000000013</v>
      </c>
      <c r="J83" s="13">
        <f t="shared" si="2"/>
        <v>349299.2799999998</v>
      </c>
    </row>
    <row r="84" spans="1:10" x14ac:dyDescent="0.25">
      <c r="A84" s="10">
        <v>44195.834722222222</v>
      </c>
      <c r="B84" s="11" t="s">
        <v>8</v>
      </c>
      <c r="C84" s="11" t="s">
        <v>18</v>
      </c>
      <c r="D84" s="16" t="str">
        <f>HYPERLINK("https://freddywills.com/pick/7688/5-5-ncaaf-pod-oklahoma-vs-florida-guarnateed-or-back.html", "Oklahoma -135 5.5% NCAAF POD")</f>
        <v>Oklahoma -135 5.5% NCAAF POD</v>
      </c>
      <c r="E84" s="11">
        <v>5.5</v>
      </c>
      <c r="F84" s="11">
        <v>-1.35</v>
      </c>
      <c r="G84" s="11" t="s">
        <v>4</v>
      </c>
      <c r="H84" s="13">
        <v>4074.07</v>
      </c>
      <c r="I84" s="14">
        <f t="shared" si="1"/>
        <v>0.54042480000000015</v>
      </c>
      <c r="J84" s="13">
        <f t="shared" si="2"/>
        <v>351499.2799999998</v>
      </c>
    </row>
    <row r="85" spans="1:10" x14ac:dyDescent="0.25">
      <c r="A85" s="10">
        <v>44195.5</v>
      </c>
      <c r="B85" s="11" t="s">
        <v>8</v>
      </c>
      <c r="C85" s="11" t="s">
        <v>7</v>
      </c>
      <c r="D85" s="16" t="str">
        <f>HYPERLINK("https://freddywills.com/pick/7690/wisconsin-vs-wake-forest-total-play-guaranteed-or-back.html", "Wisconsin / Wake Under 52 2.2% play ")</f>
        <v xml:space="preserve">Wisconsin / Wake Under 52 2.2% play </v>
      </c>
      <c r="E85" s="11">
        <v>2.2000000000000002</v>
      </c>
      <c r="F85" s="11">
        <v>-1.1000000000000001</v>
      </c>
      <c r="G85" s="11" t="s">
        <v>6</v>
      </c>
      <c r="H85" s="13">
        <v>-2200</v>
      </c>
      <c r="I85" s="14">
        <f t="shared" si="1"/>
        <v>0.49968410000000019</v>
      </c>
      <c r="J85" s="13">
        <f t="shared" si="2"/>
        <v>347425.20999999979</v>
      </c>
    </row>
    <row r="86" spans="1:10" x14ac:dyDescent="0.25">
      <c r="A86" s="10">
        <v>44194.875</v>
      </c>
      <c r="B86" s="11" t="s">
        <v>8</v>
      </c>
      <c r="C86" s="11" t="s">
        <v>5</v>
      </c>
      <c r="D86" s="16" t="str">
        <f>HYPERLINK("https://freddywills.com/pick/7687/colorado-vs-texas-guaranteed-or-back.html", "Colorado +8 3.3% play ")</f>
        <v xml:space="preserve">Colorado +8 3.3% play </v>
      </c>
      <c r="E86" s="11">
        <v>3.3</v>
      </c>
      <c r="F86" s="11">
        <v>-1.1000000000000001</v>
      </c>
      <c r="G86" s="11" t="s">
        <v>6</v>
      </c>
      <c r="H86" s="13">
        <v>-3300</v>
      </c>
      <c r="I86" s="14">
        <f t="shared" si="1"/>
        <v>0.52168410000000021</v>
      </c>
      <c r="J86" s="13">
        <f t="shared" si="2"/>
        <v>349625.20999999979</v>
      </c>
    </row>
    <row r="87" spans="1:10" x14ac:dyDescent="0.25">
      <c r="A87" s="10">
        <v>44194.729166666664</v>
      </c>
      <c r="B87" s="11" t="s">
        <v>8</v>
      </c>
      <c r="C87" s="11" t="s">
        <v>5</v>
      </c>
      <c r="D87" s="16" t="str">
        <f>HYPERLINK("https://freddywills.com/pick/7689/3-3-play-miami-vs-oklst-74-48-last-122-3-sports-picks-64-51-roi-guaranteed-or-back.html", "Miami Hurricanes +1 3.3% ")</f>
        <v xml:space="preserve">Miami Hurricanes +1 3.3% </v>
      </c>
      <c r="E87" s="11">
        <v>3.3</v>
      </c>
      <c r="F87" s="11">
        <v>-1.1000000000000001</v>
      </c>
      <c r="G87" s="11" t="s">
        <v>6</v>
      </c>
      <c r="H87" s="13">
        <v>-3300</v>
      </c>
      <c r="I87" s="14">
        <f t="shared" si="1"/>
        <v>0.55468410000000024</v>
      </c>
      <c r="J87" s="13">
        <f t="shared" si="2"/>
        <v>352925.20999999979</v>
      </c>
    </row>
    <row r="88" spans="1:10" x14ac:dyDescent="0.25">
      <c r="A88" s="10">
        <v>44192.847222222219</v>
      </c>
      <c r="B88" s="11" t="s">
        <v>2</v>
      </c>
      <c r="C88" s="11" t="s">
        <v>18</v>
      </c>
      <c r="D88" s="16" t="str">
        <f>HYPERLINK("https://freddywills.com/pick/7685/4-nfl-sunday-night-play-packers-vs-titans-guaranteed-or-back.html", "Packers -165 4% NFL play")</f>
        <v>Packers -165 4% NFL play</v>
      </c>
      <c r="E88" s="11">
        <v>4</v>
      </c>
      <c r="F88" s="11">
        <v>-1.65</v>
      </c>
      <c r="G88" s="11" t="s">
        <v>4</v>
      </c>
      <c r="H88" s="13">
        <v>2424.2399999999998</v>
      </c>
      <c r="I88" s="14">
        <f t="shared" si="1"/>
        <v>0.58768410000000026</v>
      </c>
      <c r="J88" s="13">
        <f t="shared" si="2"/>
        <v>356225.20999999979</v>
      </c>
    </row>
    <row r="89" spans="1:10" x14ac:dyDescent="0.25">
      <c r="A89" s="10">
        <v>44192.684027777781</v>
      </c>
      <c r="B89" s="11" t="s">
        <v>2</v>
      </c>
      <c r="C89" s="11" t="s">
        <v>5</v>
      </c>
      <c r="D89" s="16" t="str">
        <f>HYPERLINK("https://freddywills.com/pick/7684/5-5-max-nfl-pod-66-33-163-633-l-99-max-rated-nfl-picks-guaranteed-or-back.html", "Rams +1 5.5% NFL POD")</f>
        <v>Rams +1 5.5% NFL POD</v>
      </c>
      <c r="E89" s="11">
        <v>5.5</v>
      </c>
      <c r="F89" s="11">
        <v>-1.1000000000000001</v>
      </c>
      <c r="G89" s="11" t="s">
        <v>6</v>
      </c>
      <c r="H89" s="13">
        <v>-5500</v>
      </c>
      <c r="I89" s="14">
        <f t="shared" si="1"/>
        <v>0.56344170000000027</v>
      </c>
      <c r="J89" s="13">
        <f t="shared" si="2"/>
        <v>353800.9699999998</v>
      </c>
    </row>
    <row r="90" spans="1:10" x14ac:dyDescent="0.25">
      <c r="A90" s="10">
        <v>44192.670138888891</v>
      </c>
      <c r="B90" s="11" t="s">
        <v>2</v>
      </c>
      <c r="C90" s="11" t="s">
        <v>18</v>
      </c>
      <c r="D90" s="16" t="str">
        <f>HYPERLINK("https://freddywills.com/pick/7681/ml-dog-of-the-day-34-29-64-145-l-63-nfl-money-line-dog-plays-guaranteed-or-back.html", "Broncos +140 2.5% play ")</f>
        <v xml:space="preserve">Broncos +140 2.5% play </v>
      </c>
      <c r="E90" s="11">
        <v>2.5</v>
      </c>
      <c r="F90" s="11">
        <v>1.4</v>
      </c>
      <c r="G90" s="11" t="s">
        <v>6</v>
      </c>
      <c r="H90" s="13">
        <v>-2500</v>
      </c>
      <c r="I90" s="14">
        <f t="shared" si="1"/>
        <v>0.61844170000000032</v>
      </c>
      <c r="J90" s="13">
        <f t="shared" si="2"/>
        <v>359300.9699999998</v>
      </c>
    </row>
    <row r="91" spans="1:10" x14ac:dyDescent="0.25">
      <c r="A91" s="10">
        <v>44192.670138888891</v>
      </c>
      <c r="B91" s="11" t="s">
        <v>2</v>
      </c>
      <c r="C91" s="11" t="s">
        <v>5</v>
      </c>
      <c r="D91" s="16" t="str">
        <f>HYPERLINK("https://freddywills.com/pick/7686/panthers-vs-redskins-guaranteed-or-back-3-3-play.html", "Panthers -1 3.3% play ")</f>
        <v xml:space="preserve">Panthers -1 3.3% play </v>
      </c>
      <c r="E91" s="11">
        <v>3.3</v>
      </c>
      <c r="F91" s="11">
        <v>-1.1000000000000001</v>
      </c>
      <c r="G91" s="11" t="s">
        <v>4</v>
      </c>
      <c r="H91" s="13">
        <v>3000</v>
      </c>
      <c r="I91" s="14">
        <f t="shared" si="1"/>
        <v>0.64344170000000034</v>
      </c>
      <c r="J91" s="13">
        <f t="shared" si="2"/>
        <v>361800.9699999998</v>
      </c>
    </row>
    <row r="92" spans="1:10" x14ac:dyDescent="0.25">
      <c r="A92" s="10">
        <v>44192.541666666664</v>
      </c>
      <c r="B92" s="11" t="s">
        <v>2</v>
      </c>
      <c r="C92" s="11" t="s">
        <v>7</v>
      </c>
      <c r="D92" s="16" t="str">
        <f>HYPERLINK("https://freddywills.com/pick/7678/3-nfl-total-of-the-week-17-9-16-735-l-26-over-all-sports-guaranteed-or-back.html", "Jets/Browns Over 47 3.3% play")</f>
        <v>Jets/Browns Over 47 3.3% play</v>
      </c>
      <c r="E92" s="11">
        <v>3.3</v>
      </c>
      <c r="F92" s="11">
        <v>-1.1000000000000001</v>
      </c>
      <c r="G92" s="11" t="s">
        <v>6</v>
      </c>
      <c r="H92" s="13">
        <v>-3300</v>
      </c>
      <c r="I92" s="14">
        <f t="shared" si="1"/>
        <v>0.61344170000000031</v>
      </c>
      <c r="J92" s="13">
        <f t="shared" si="2"/>
        <v>358800.9699999998</v>
      </c>
    </row>
    <row r="93" spans="1:10" x14ac:dyDescent="0.25">
      <c r="A93" s="10">
        <v>44192.541666666664</v>
      </c>
      <c r="B93" s="11" t="s">
        <v>2</v>
      </c>
      <c r="C93" s="11" t="s">
        <v>5</v>
      </c>
      <c r="D93" s="16" t="str">
        <f>HYPERLINK("https://freddywills.com/pick/7682/early-bird-special-texans-vs-bengals-guaranteed-or-back.html", "Texans -7 2.2% play ")</f>
        <v xml:space="preserve">Texans -7 2.2% play </v>
      </c>
      <c r="E93" s="11">
        <v>2.2000000000000002</v>
      </c>
      <c r="F93" s="11">
        <v>-1.1000000000000001</v>
      </c>
      <c r="G93" s="11" t="s">
        <v>6</v>
      </c>
      <c r="H93" s="13">
        <v>-2200</v>
      </c>
      <c r="I93" s="14">
        <f t="shared" si="1"/>
        <v>0.64644170000000034</v>
      </c>
      <c r="J93" s="13">
        <f t="shared" si="2"/>
        <v>362100.9699999998</v>
      </c>
    </row>
    <row r="94" spans="1:10" x14ac:dyDescent="0.25">
      <c r="A94" s="10">
        <v>44192.541666666664</v>
      </c>
      <c r="B94" s="11" t="s">
        <v>2</v>
      </c>
      <c r="C94" s="11" t="s">
        <v>18</v>
      </c>
      <c r="D94" s="16" t="str">
        <f>HYPERLINK("https://freddywills.com/pick/7683/steelers-vs-colts-guaranteed-or-back-92-55-128-100-l-147-nfl-picks-in-december.html", "Steelers -125 3.5% play ")</f>
        <v xml:space="preserve">Steelers -125 3.5% play </v>
      </c>
      <c r="E94" s="11">
        <v>3.5</v>
      </c>
      <c r="F94" s="11">
        <v>-1.25</v>
      </c>
      <c r="G94" s="11" t="s">
        <v>4</v>
      </c>
      <c r="H94" s="13">
        <v>2800</v>
      </c>
      <c r="I94" s="14">
        <f t="shared" si="1"/>
        <v>0.66844170000000036</v>
      </c>
      <c r="J94" s="13">
        <f t="shared" si="2"/>
        <v>364300.9699999998</v>
      </c>
    </row>
    <row r="95" spans="1:10" x14ac:dyDescent="0.25">
      <c r="A95" s="10">
        <v>44191.847222222219</v>
      </c>
      <c r="B95" s="11" t="s">
        <v>2</v>
      </c>
      <c r="C95" s="11" t="s">
        <v>5</v>
      </c>
      <c r="D95" s="16" t="str">
        <f>HYPERLINK("https://freddywills.com/pick/7679/raiders-vs-dolphins-guaranteed-or-back-70-46-59-316-l-116-all-sports-3-bankroll.html", "Raiders +3 3.3% play ")</f>
        <v xml:space="preserve">Raiders +3 3.3% play </v>
      </c>
      <c r="E95" s="11">
        <v>3.3</v>
      </c>
      <c r="F95" s="11">
        <v>-1.1000000000000001</v>
      </c>
      <c r="G95" s="11" t="s">
        <v>4</v>
      </c>
      <c r="H95" s="13">
        <v>3000</v>
      </c>
      <c r="I95" s="14">
        <f t="shared" si="1"/>
        <v>0.64044170000000034</v>
      </c>
      <c r="J95" s="13">
        <f t="shared" si="2"/>
        <v>361500.9699999998</v>
      </c>
    </row>
    <row r="96" spans="1:10" x14ac:dyDescent="0.25">
      <c r="A96" s="10">
        <v>44191.645833333336</v>
      </c>
      <c r="B96" s="11" t="s">
        <v>8</v>
      </c>
      <c r="C96" s="11" t="s">
        <v>7</v>
      </c>
      <c r="D96" s="16" t="str">
        <f>HYPERLINK("https://freddywills.com/pick/7675/3-3-saturday-play-lafayette-vs-utsa-guaranteed-or-back-70-46-59-316-l-116-all-sports-3-b.html", "Lafayette / UTSA Under 56.5 3.3% play ")</f>
        <v xml:space="preserve">Lafayette / UTSA Under 56.5 3.3% play </v>
      </c>
      <c r="E96" s="11">
        <v>3.3</v>
      </c>
      <c r="F96" s="11">
        <v>-1.1000000000000001</v>
      </c>
      <c r="G96" s="11" t="s">
        <v>4</v>
      </c>
      <c r="H96" s="13">
        <v>3000</v>
      </c>
      <c r="I96" s="14">
        <f t="shared" si="1"/>
        <v>0.61044170000000031</v>
      </c>
      <c r="J96" s="13">
        <f t="shared" si="2"/>
        <v>358500.9699999998</v>
      </c>
    </row>
    <row r="97" spans="1:10" x14ac:dyDescent="0.25">
      <c r="A97" s="10">
        <v>44191.541666666664</v>
      </c>
      <c r="B97" s="11" t="s">
        <v>2</v>
      </c>
      <c r="C97" s="11" t="s">
        <v>5</v>
      </c>
      <c r="D97" s="16" t="str">
        <f>HYPERLINK("https://freddywills.com/pick/7680/62-31-45-427-l-93-nfl-free-picks-free-pick-lions-vs-bucs.html", "Lions +10 1.1% Free Play ")</f>
        <v xml:space="preserve">Lions +10 1.1% Free Play </v>
      </c>
      <c r="E97" s="11">
        <v>1.1000000000000001</v>
      </c>
      <c r="F97" s="11">
        <v>-1.1000000000000001</v>
      </c>
      <c r="G97" s="11" t="s">
        <v>6</v>
      </c>
      <c r="H97" s="13">
        <v>-1100</v>
      </c>
      <c r="I97" s="14">
        <f t="shared" si="1"/>
        <v>0.58044170000000028</v>
      </c>
      <c r="J97" s="13">
        <f t="shared" si="2"/>
        <v>355500.9699999998</v>
      </c>
    </row>
    <row r="98" spans="1:10" x14ac:dyDescent="0.25">
      <c r="A98" s="10">
        <v>44190.6875</v>
      </c>
      <c r="B98" s="11" t="s">
        <v>2</v>
      </c>
      <c r="C98" s="11" t="s">
        <v>10</v>
      </c>
      <c r="D98" s="16" t="str">
        <f>HYPERLINK("https://freddywills.com/pick/7677/4-4-nfl-teaser-49-36-25-431-l-85-nfl-teasers-1st-leg-on-christmas-guaranteed-or-back.html", "Saints -0.5 / Bears -1.5 4.4% NFL Teaser of the Week")</f>
        <v>Saints -0.5 / Bears -1.5 4.4% NFL Teaser of the Week</v>
      </c>
      <c r="E98" s="11">
        <v>4.4000000000000004</v>
      </c>
      <c r="F98" s="11">
        <v>-1.1000000000000001</v>
      </c>
      <c r="G98" s="11" t="s">
        <v>4</v>
      </c>
      <c r="H98" s="13">
        <v>4000</v>
      </c>
      <c r="I98" s="14">
        <f t="shared" si="1"/>
        <v>0.59144170000000029</v>
      </c>
      <c r="J98" s="13">
        <f t="shared" si="2"/>
        <v>356600.9699999998</v>
      </c>
    </row>
    <row r="99" spans="1:10" x14ac:dyDescent="0.25">
      <c r="A99" s="10">
        <v>44190.583333333336</v>
      </c>
      <c r="B99" s="11" t="s">
        <v>8</v>
      </c>
      <c r="C99" s="11" t="s">
        <v>5</v>
      </c>
      <c r="D99" s="16" t="str">
        <f>HYPERLINK("https://freddywills.com/pick/7673/christmas-day-bowl-game-marshall-vs-buffalo-3-3-play-guaranteed-or-back.html", "Marshall +4.5 3.3% play ")</f>
        <v xml:space="preserve">Marshall +4.5 3.3% play </v>
      </c>
      <c r="E99" s="11">
        <v>3.3</v>
      </c>
      <c r="F99" s="11">
        <v>-1.1000000000000001</v>
      </c>
      <c r="G99" s="11" t="s">
        <v>6</v>
      </c>
      <c r="H99" s="13">
        <v>-3300</v>
      </c>
      <c r="I99" s="14">
        <f t="shared" si="1"/>
        <v>0.55144170000000026</v>
      </c>
      <c r="J99" s="13">
        <f t="shared" si="2"/>
        <v>352600.9699999998</v>
      </c>
    </row>
    <row r="100" spans="1:10" x14ac:dyDescent="0.25">
      <c r="A100" s="10">
        <v>44188.635416666664</v>
      </c>
      <c r="B100" s="11" t="s">
        <v>8</v>
      </c>
      <c r="C100" s="11" t="s">
        <v>18</v>
      </c>
      <c r="D100" s="16" t="str">
        <f>HYPERLINK("https://freddywills.com/pick/7676/bonus-play-from-la-tech-game-loser.html", " LA Tech +210 1% play")</f>
        <v xml:space="preserve"> LA Tech +210 1% play</v>
      </c>
      <c r="E100" s="11">
        <v>1</v>
      </c>
      <c r="F100" s="11">
        <v>2.1</v>
      </c>
      <c r="G100" s="11" t="s">
        <v>6</v>
      </c>
      <c r="H100" s="13">
        <v>-1000</v>
      </c>
      <c r="I100" s="14">
        <f t="shared" si="1"/>
        <v>0.58444170000000029</v>
      </c>
      <c r="J100" s="13">
        <f t="shared" si="2"/>
        <v>355900.9699999998</v>
      </c>
    </row>
    <row r="101" spans="1:10" x14ac:dyDescent="0.25">
      <c r="A101" s="10">
        <v>44188.625</v>
      </c>
      <c r="B101" s="11" t="s">
        <v>8</v>
      </c>
      <c r="C101" s="11" t="s">
        <v>5</v>
      </c>
      <c r="D101" s="16" t="str">
        <f>HYPERLINK("https://freddywills.com/pick/7674/3-play-new-orleans-bowl-latech-vs-gasouthern-guaranteed-or-back.html", "LA Tech +7 2.2 % PLAY ")</f>
        <v xml:space="preserve">LA Tech +7 2.2 % PLAY </v>
      </c>
      <c r="E101" s="11">
        <v>2.2000000000000002</v>
      </c>
      <c r="F101" s="11">
        <v>-1.1000000000000001</v>
      </c>
      <c r="G101" s="11" t="s">
        <v>6</v>
      </c>
      <c r="H101" s="13">
        <v>-2200</v>
      </c>
      <c r="I101" s="14">
        <f t="shared" si="1"/>
        <v>0.59444170000000029</v>
      </c>
      <c r="J101" s="13">
        <f t="shared" si="2"/>
        <v>356900.9699999998</v>
      </c>
    </row>
    <row r="102" spans="1:10" x14ac:dyDescent="0.25">
      <c r="A102" s="10">
        <v>44187.720138888886</v>
      </c>
      <c r="B102" s="11" t="s">
        <v>8</v>
      </c>
      <c r="C102" s="11" t="s">
        <v>5</v>
      </c>
      <c r="D102" s="16" t="str">
        <f>HYPERLINK("https://freddywills.com/pick/7672/3-play-boca-raton-bowl-guaranteed-or-back-96-71-59-946-l-167-ncaaf-3-bankroll.html", "UCF +7 -125 buy 1/2 point")</f>
        <v>UCF +7 -125 buy 1/2 point</v>
      </c>
      <c r="E102" s="11">
        <v>3</v>
      </c>
      <c r="F102" s="11">
        <v>-1.25</v>
      </c>
      <c r="G102" s="11" t="s">
        <v>6</v>
      </c>
      <c r="H102" s="13">
        <v>-3000</v>
      </c>
      <c r="I102" s="14">
        <f t="shared" ref="I102:I165" si="3">H102/100000+I103</f>
        <v>0.61644170000000031</v>
      </c>
      <c r="J102" s="13">
        <f t="shared" si="2"/>
        <v>359100.9699999998</v>
      </c>
    </row>
    <row r="103" spans="1:10" x14ac:dyDescent="0.25">
      <c r="A103" s="10">
        <v>44187.645833333336</v>
      </c>
      <c r="B103" s="11" t="s">
        <v>8</v>
      </c>
      <c r="C103" s="11" t="s">
        <v>5</v>
      </c>
      <c r="D103" s="16" t="str">
        <f>HYPERLINK("https://freddywills.com/pick/7671/2-2-play-idaho-potato-bowl-guaranteed-or-back.html", "Tulane -1 2.2% play ")</f>
        <v xml:space="preserve">Tulane -1 2.2% play </v>
      </c>
      <c r="E103" s="11">
        <v>2.2000000000000002</v>
      </c>
      <c r="F103" s="11">
        <v>-1.1000000000000001</v>
      </c>
      <c r="G103" s="11" t="s">
        <v>6</v>
      </c>
      <c r="H103" s="13">
        <v>-2200</v>
      </c>
      <c r="I103" s="14">
        <f t="shared" si="3"/>
        <v>0.64644170000000034</v>
      </c>
      <c r="J103" s="13">
        <f t="shared" ref="J103:J166" si="4">H103+J104</f>
        <v>362100.9699999998</v>
      </c>
    </row>
    <row r="104" spans="1:10" x14ac:dyDescent="0.25">
      <c r="A104" s="10">
        <v>44185.684027777781</v>
      </c>
      <c r="B104" s="11" t="s">
        <v>2</v>
      </c>
      <c r="C104" s="11" t="s">
        <v>5</v>
      </c>
      <c r="D104" s="16" t="str">
        <f>HYPERLINK("https://freddywills.com/pick/7667/saints-vs-chiefs-3-3-play-guaranteed-or-back-73-48-66-519-l-121-nfl-3-bankroll.html", "Saints +3 3.3% play ")</f>
        <v xml:space="preserve">Saints +3 3.3% play </v>
      </c>
      <c r="E104" s="11">
        <v>3.3</v>
      </c>
      <c r="F104" s="11">
        <v>-1.1000000000000001</v>
      </c>
      <c r="G104" s="11" t="s">
        <v>9</v>
      </c>
      <c r="H104" s="13">
        <v>0</v>
      </c>
      <c r="I104" s="14">
        <f t="shared" si="3"/>
        <v>0.66844170000000036</v>
      </c>
      <c r="J104" s="13">
        <f t="shared" si="4"/>
        <v>364300.9699999998</v>
      </c>
    </row>
    <row r="105" spans="1:10" x14ac:dyDescent="0.25">
      <c r="A105" s="10">
        <v>44185.670138888891</v>
      </c>
      <c r="B105" s="11" t="s">
        <v>2</v>
      </c>
      <c r="C105" s="11" t="s">
        <v>5</v>
      </c>
      <c r="D105" s="16" t="str">
        <f>HYPERLINK("https://freddywills.com/pick/7665/sunday-s-free-pick-rams-vs-jets-62-31-45-427-l-93-free-nfl-picks.html", "Jets +17.5 1.1% Free Play ")</f>
        <v xml:space="preserve">Jets +17.5 1.1% Free Play </v>
      </c>
      <c r="E105" s="11">
        <v>1.1000000000000001</v>
      </c>
      <c r="F105" s="11">
        <v>-1.1000000000000001</v>
      </c>
      <c r="G105" s="11" t="s">
        <v>4</v>
      </c>
      <c r="H105" s="13">
        <v>1000</v>
      </c>
      <c r="I105" s="14">
        <f t="shared" si="3"/>
        <v>0.66844170000000036</v>
      </c>
      <c r="J105" s="13">
        <f t="shared" si="4"/>
        <v>364300.9699999998</v>
      </c>
    </row>
    <row r="106" spans="1:10" x14ac:dyDescent="0.25">
      <c r="A106" s="10">
        <v>44185.670138888891</v>
      </c>
      <c r="B106" s="11" t="s">
        <v>2</v>
      </c>
      <c r="C106" s="11" t="s">
        <v>5</v>
      </c>
      <c r="D106" s="16" t="str">
        <f>HYPERLINK("https://freddywills.com/pick/7670/5-5-nfl-pod-66-33-163-633-l-99-max-rated-nfl-picks-eagles-vs-cardinals-guaranteed-or-back.html", "Eagles +7 -121 buy 1/2 5.5% NFL POD")</f>
        <v>Eagles +7 -121 buy 1/2 5.5% NFL POD</v>
      </c>
      <c r="E106" s="11">
        <v>5.5</v>
      </c>
      <c r="F106" s="11">
        <v>-1.21</v>
      </c>
      <c r="G106" s="11" t="s">
        <v>9</v>
      </c>
      <c r="H106" s="13">
        <v>0</v>
      </c>
      <c r="I106" s="14">
        <f t="shared" si="3"/>
        <v>0.65844170000000035</v>
      </c>
      <c r="J106" s="13">
        <f t="shared" si="4"/>
        <v>363300.9699999998</v>
      </c>
    </row>
    <row r="107" spans="1:10" x14ac:dyDescent="0.25">
      <c r="A107" s="10">
        <v>44185.541666666664</v>
      </c>
      <c r="B107" s="11" t="s">
        <v>2</v>
      </c>
      <c r="C107" s="11" t="s">
        <v>5</v>
      </c>
      <c r="D107" s="16" t="str">
        <f>HYPERLINK("https://freddywills.com/pick/7666/3-3-play-texans-vs-colts-guaranteed-or-back-89-54-125-400-l-143-nfl-picks-in-december.html", "Texans +7.5 3.3% play ")</f>
        <v xml:space="preserve">Texans +7.5 3.3% play </v>
      </c>
      <c r="E107" s="11">
        <v>3.3</v>
      </c>
      <c r="F107" s="11">
        <v>-1.1000000000000001</v>
      </c>
      <c r="G107" s="11" t="s">
        <v>4</v>
      </c>
      <c r="H107" s="13">
        <v>3000</v>
      </c>
      <c r="I107" s="14">
        <f t="shared" si="3"/>
        <v>0.65844170000000035</v>
      </c>
      <c r="J107" s="13">
        <f t="shared" si="4"/>
        <v>363300.9699999998</v>
      </c>
    </row>
    <row r="108" spans="1:10" x14ac:dyDescent="0.25">
      <c r="A108" s="10">
        <v>44185.541666666664</v>
      </c>
      <c r="B108" s="11" t="s">
        <v>2</v>
      </c>
      <c r="C108" s="11" t="s">
        <v>10</v>
      </c>
      <c r="D108" s="16" t="str">
        <f>HYPERLINK("https://freddywills.com/pick/7668/3-3-nfl-teaser-of-the-week-guaranteed-or-back-49-35-28-731-l-84-nfl-teasers.html", "Patriots +7.5 / Bears +8.5 3.3% play ")</f>
        <v xml:space="preserve">Patriots +7.5 / Bears +8.5 3.3% play </v>
      </c>
      <c r="E108" s="11">
        <v>3.3</v>
      </c>
      <c r="F108" s="11">
        <v>-1.1000000000000001</v>
      </c>
      <c r="G108" s="11" t="s">
        <v>6</v>
      </c>
      <c r="H108" s="13">
        <v>-3300</v>
      </c>
      <c r="I108" s="14">
        <f t="shared" si="3"/>
        <v>0.62844170000000033</v>
      </c>
      <c r="J108" s="13">
        <f t="shared" si="4"/>
        <v>360300.9699999998</v>
      </c>
    </row>
    <row r="109" spans="1:10" x14ac:dyDescent="0.25">
      <c r="A109" s="10">
        <v>44185.541666666664</v>
      </c>
      <c r="B109" s="11" t="s">
        <v>2</v>
      </c>
      <c r="C109" s="11" t="s">
        <v>5</v>
      </c>
      <c r="D109" s="16" t="str">
        <f>HYPERLINK("https://freddywills.com/pick/7669/2-2-nfl-play-seahawks-vs-redskins-guaranteed-or-back-89-54-125-400-l-143-nfl-picks-in-d.html", "Redskins +6.5 2.2% play ")</f>
        <v xml:space="preserve">Redskins +6.5 2.2% play </v>
      </c>
      <c r="E109" s="11">
        <v>2.2000000000000002</v>
      </c>
      <c r="F109" s="11">
        <v>-1.1000000000000001</v>
      </c>
      <c r="G109" s="11" t="s">
        <v>4</v>
      </c>
      <c r="H109" s="13">
        <v>2000</v>
      </c>
      <c r="I109" s="14">
        <f t="shared" si="3"/>
        <v>0.66144170000000035</v>
      </c>
      <c r="J109" s="13">
        <f t="shared" si="4"/>
        <v>363600.9699999998</v>
      </c>
    </row>
    <row r="110" spans="1:10" x14ac:dyDescent="0.25">
      <c r="A110" s="10">
        <v>44184.834722222222</v>
      </c>
      <c r="B110" s="11" t="s">
        <v>8</v>
      </c>
      <c r="C110" s="11" t="s">
        <v>5</v>
      </c>
      <c r="D110" s="16" t="str">
        <f>HYPERLINK("https://freddywills.com/pick/7664/sec-championship-game-play-florida-vs-alabama-guaranteed-or-back.html", "Florida +16 2.2% play")</f>
        <v>Florida +16 2.2% play</v>
      </c>
      <c r="E110" s="11">
        <v>2.2000000000000002</v>
      </c>
      <c r="F110" s="11">
        <v>-1.1000000000000001</v>
      </c>
      <c r="G110" s="11" t="s">
        <v>4</v>
      </c>
      <c r="H110" s="13">
        <v>2000</v>
      </c>
      <c r="I110" s="14">
        <f t="shared" si="3"/>
        <v>0.64144170000000034</v>
      </c>
      <c r="J110" s="13">
        <f t="shared" si="4"/>
        <v>361600.9699999998</v>
      </c>
    </row>
    <row r="111" spans="1:10" x14ac:dyDescent="0.25">
      <c r="A111" s="10">
        <v>44184.833333333336</v>
      </c>
      <c r="B111" s="11" t="s">
        <v>8</v>
      </c>
      <c r="C111" s="11" t="s">
        <v>7</v>
      </c>
      <c r="D111" s="16" t="str">
        <f>HYPERLINK("https://freddywills.com/pick/7662/aac-championship-game-tulsa-vs-cinci-total-play-guaranteed-or-back.html", "Tulsa/Cinci Under 45.5 2.2% play ")</f>
        <v xml:space="preserve">Tulsa/Cinci Under 45.5 2.2% play </v>
      </c>
      <c r="E111" s="11">
        <v>2.2000000000000002</v>
      </c>
      <c r="F111" s="11">
        <v>-1.1000000000000001</v>
      </c>
      <c r="G111" s="11" t="s">
        <v>6</v>
      </c>
      <c r="H111" s="13">
        <v>-2200</v>
      </c>
      <c r="I111" s="14">
        <f t="shared" si="3"/>
        <v>0.62144170000000032</v>
      </c>
      <c r="J111" s="13">
        <f t="shared" si="4"/>
        <v>359600.9699999998</v>
      </c>
    </row>
    <row r="112" spans="1:10" x14ac:dyDescent="0.25">
      <c r="A112" s="10">
        <v>44184.6875</v>
      </c>
      <c r="B112" s="11" t="s">
        <v>8</v>
      </c>
      <c r="C112" s="11" t="s">
        <v>5</v>
      </c>
      <c r="D112" s="16" t="str">
        <f>HYPERLINK("https://freddywills.com/pick/7663/mountain-west-conference-championship-san-jose-state-vs-boise-state-guaranteed-or-back.html", "San Jose State +7 3.3% play ")</f>
        <v xml:space="preserve">San Jose State +7 3.3% play </v>
      </c>
      <c r="E112" s="11">
        <v>3.3</v>
      </c>
      <c r="F112" s="11">
        <v>-1.1000000000000001</v>
      </c>
      <c r="G112" s="11" t="s">
        <v>4</v>
      </c>
      <c r="H112" s="13">
        <v>3000</v>
      </c>
      <c r="I112" s="14">
        <f t="shared" si="3"/>
        <v>0.64344170000000034</v>
      </c>
      <c r="J112" s="13">
        <f t="shared" si="4"/>
        <v>361800.9699999998</v>
      </c>
    </row>
    <row r="113" spans="1:10" x14ac:dyDescent="0.25">
      <c r="A113" s="10">
        <v>44184.666666666664</v>
      </c>
      <c r="B113" s="11" t="s">
        <v>8</v>
      </c>
      <c r="C113" s="11" t="s">
        <v>5</v>
      </c>
      <c r="D113" s="16" t="str">
        <f>HYPERLINK("https://freddywills.com/pick/7659/acc-championship-game-clemson-vs-notredame-guaranteed-or-back.html", "Clemson -10 3.3% play ")</f>
        <v xml:space="preserve">Clemson -10 3.3% play </v>
      </c>
      <c r="E113" s="11">
        <v>3.3</v>
      </c>
      <c r="F113" s="11">
        <v>-1.1000000000000001</v>
      </c>
      <c r="G113" s="11" t="s">
        <v>4</v>
      </c>
      <c r="H113" s="13">
        <v>3000</v>
      </c>
      <c r="I113" s="14">
        <f t="shared" si="3"/>
        <v>0.61344170000000031</v>
      </c>
      <c r="J113" s="13">
        <f t="shared" si="4"/>
        <v>358800.9699999998</v>
      </c>
    </row>
    <row r="114" spans="1:10" x14ac:dyDescent="0.25">
      <c r="A114" s="10">
        <v>44184.625</v>
      </c>
      <c r="B114" s="11" t="s">
        <v>8</v>
      </c>
      <c r="C114" s="11" t="s">
        <v>10</v>
      </c>
      <c r="D114" s="16" t="str">
        <f>HYPERLINK("https://freddywills.com/pick/7661/college-football-teaser-of-the-week-112-77-last-189-teaser-picks-guaranteed-or-back.html", "Army +8.5  /Miss State +7.5 3.3% Teaser")</f>
        <v>Army +8.5  /Miss State +7.5 3.3% Teaser</v>
      </c>
      <c r="E114" s="11">
        <v>3.3</v>
      </c>
      <c r="F114" s="11">
        <v>-1.1000000000000001</v>
      </c>
      <c r="G114" s="11" t="s">
        <v>4</v>
      </c>
      <c r="H114" s="13">
        <v>3000</v>
      </c>
      <c r="I114" s="14">
        <f t="shared" si="3"/>
        <v>0.58344170000000029</v>
      </c>
      <c r="J114" s="13">
        <f t="shared" si="4"/>
        <v>355800.9699999998</v>
      </c>
    </row>
    <row r="115" spans="1:10" x14ac:dyDescent="0.25">
      <c r="A115" s="10">
        <v>44184.5</v>
      </c>
      <c r="B115" s="11" t="s">
        <v>8</v>
      </c>
      <c r="C115" s="11" t="s">
        <v>5</v>
      </c>
      <c r="D115" s="16" t="str">
        <f>HYPERLINK("https://freddywills.com/pick/7658/big-12-championship-3-3-play-guaranteed-or-back-92-71-47-946-l-163-ncaaf-3-bankroll.html", "Iowa State +6 3.3% play ")</f>
        <v xml:space="preserve">Iowa State +6 3.3% play </v>
      </c>
      <c r="E115" s="11">
        <v>3.3</v>
      </c>
      <c r="F115" s="11">
        <v>-1.1000000000000001</v>
      </c>
      <c r="G115" s="11" t="s">
        <v>9</v>
      </c>
      <c r="H115" s="13">
        <v>0</v>
      </c>
      <c r="I115" s="14">
        <f t="shared" si="3"/>
        <v>0.55344170000000026</v>
      </c>
      <c r="J115" s="13">
        <f t="shared" si="4"/>
        <v>352800.9699999998</v>
      </c>
    </row>
    <row r="116" spans="1:10" x14ac:dyDescent="0.25">
      <c r="A116" s="10">
        <v>44184.5</v>
      </c>
      <c r="B116" s="11" t="s">
        <v>8</v>
      </c>
      <c r="C116" s="11" t="s">
        <v>5</v>
      </c>
      <c r="D116" s="16" t="str">
        <f>HYPERLINK("https://freddywills.com/pick/7660/big-ten-championship-free-play-62-47-7-663-l-109-free-ncaaf-picks.html", "Northwestern +18.5 1.1% Free Pick")</f>
        <v>Northwestern +18.5 1.1% Free Pick</v>
      </c>
      <c r="E116" s="11">
        <v>1.1000000000000001</v>
      </c>
      <c r="F116" s="11">
        <v>-1.1000000000000001</v>
      </c>
      <c r="G116" s="11" t="s">
        <v>4</v>
      </c>
      <c r="H116" s="13">
        <v>1000</v>
      </c>
      <c r="I116" s="14">
        <f t="shared" si="3"/>
        <v>0.55344170000000026</v>
      </c>
      <c r="J116" s="13">
        <f t="shared" si="4"/>
        <v>352800.9699999998</v>
      </c>
    </row>
    <row r="117" spans="1:10" x14ac:dyDescent="0.25">
      <c r="A117" s="10">
        <v>44183.833333333336</v>
      </c>
      <c r="B117" s="11" t="s">
        <v>8</v>
      </c>
      <c r="C117" s="11" t="s">
        <v>5</v>
      </c>
      <c r="D117" s="16" t="str">
        <f>HYPERLINK("https://freddywills.com/pick/7656/3-3-play-pac-12-championship-oregon-vs-usc-guaranteed-or-back.html", "Oregon +3 3.3% play ")</f>
        <v xml:space="preserve">Oregon +3 3.3% play </v>
      </c>
      <c r="E117" s="11">
        <v>3.3</v>
      </c>
      <c r="F117" s="11">
        <v>-1.1000000000000001</v>
      </c>
      <c r="G117" s="11" t="s">
        <v>4</v>
      </c>
      <c r="H117" s="13">
        <v>3000</v>
      </c>
      <c r="I117" s="14">
        <f t="shared" si="3"/>
        <v>0.54344170000000025</v>
      </c>
      <c r="J117" s="13">
        <f t="shared" si="4"/>
        <v>351800.9699999998</v>
      </c>
    </row>
    <row r="118" spans="1:10" x14ac:dyDescent="0.25">
      <c r="A118" s="10">
        <v>44183.8125</v>
      </c>
      <c r="B118" s="11" t="s">
        <v>8</v>
      </c>
      <c r="C118" s="11" t="s">
        <v>5</v>
      </c>
      <c r="D118" s="16" t="str">
        <f>HYPERLINK("https://freddywills.com/pick/7655/mac-championship-8-4-career-mac-championship-4-5-ncaaf-pod-guaranteed-or-back.html", "Ball State +14 -120 buy Ã‚Â½ point 4.5 % NCAAF POD")</f>
        <v>Ball State +14 -120 buy Ã‚Â½ point 4.5 % NCAAF POD</v>
      </c>
      <c r="E118" s="11">
        <v>4.5</v>
      </c>
      <c r="F118" s="11">
        <v>-1.2</v>
      </c>
      <c r="G118" s="11" t="s">
        <v>4</v>
      </c>
      <c r="H118" s="13">
        <v>3750</v>
      </c>
      <c r="I118" s="14">
        <f t="shared" si="3"/>
        <v>0.51344170000000022</v>
      </c>
      <c r="J118" s="13">
        <f t="shared" si="4"/>
        <v>348800.9699999998</v>
      </c>
    </row>
    <row r="119" spans="1:10" x14ac:dyDescent="0.25">
      <c r="A119" s="10">
        <v>44183.791666666664</v>
      </c>
      <c r="B119" s="11" t="s">
        <v>8</v>
      </c>
      <c r="C119" s="11" t="s">
        <v>7</v>
      </c>
      <c r="D119" s="16" t="str">
        <f>HYPERLINK("https://freddywills.com/pick/7657/friday-s-conference-usa-championship-game-guaranteed-or-back.html", "UAB/Marshall Under 44 2.2% play ")</f>
        <v xml:space="preserve">UAB/Marshall Under 44 2.2% play </v>
      </c>
      <c r="E119" s="11">
        <v>2.2000000000000002</v>
      </c>
      <c r="F119" s="11">
        <v>-1.1000000000000001</v>
      </c>
      <c r="G119" s="11" t="s">
        <v>4</v>
      </c>
      <c r="H119" s="13">
        <v>2000</v>
      </c>
      <c r="I119" s="14">
        <f t="shared" si="3"/>
        <v>0.47594170000000025</v>
      </c>
      <c r="J119" s="13">
        <f t="shared" si="4"/>
        <v>345050.9699999998</v>
      </c>
    </row>
    <row r="120" spans="1:10" x14ac:dyDescent="0.25">
      <c r="A120" s="10">
        <v>44182.847222222219</v>
      </c>
      <c r="B120" s="11" t="s">
        <v>2</v>
      </c>
      <c r="C120" s="11" t="s">
        <v>5</v>
      </c>
      <c r="D120" s="16" t="str">
        <f>HYPERLINK("https://freddywills.com/pick/7654/thursday-night-football-chargers-vs-raiders-guaranteed-or-back-59-39-64-590-l-98-nfl-pic.html", "Chargers +3.5 2.2% play ")</f>
        <v xml:space="preserve">Chargers +3.5 2.2% play </v>
      </c>
      <c r="E120" s="11">
        <v>2.2000000000000002</v>
      </c>
      <c r="F120" s="11">
        <v>-1.1000000000000001</v>
      </c>
      <c r="G120" s="11" t="s">
        <v>4</v>
      </c>
      <c r="H120" s="13">
        <v>2000</v>
      </c>
      <c r="I120" s="14">
        <f t="shared" si="3"/>
        <v>0.45594170000000023</v>
      </c>
      <c r="J120" s="13">
        <f t="shared" si="4"/>
        <v>343050.9699999998</v>
      </c>
    </row>
    <row r="121" spans="1:10" x14ac:dyDescent="0.25">
      <c r="A121" s="10">
        <v>44179.847222222219</v>
      </c>
      <c r="B121" s="11" t="s">
        <v>2</v>
      </c>
      <c r="C121" s="11" t="s">
        <v>5</v>
      </c>
      <c r="D121" s="16" t="str">
        <f>HYPERLINK("https://freddywills.com/pick/7653/3-5-monday-night-winner-browns-vs-ravens-guaranteed-or-back-152-109-107-557-l-261-all-spo.html", "Browns +3.5 -115 3.5% play ")</f>
        <v xml:space="preserve">Browns +3.5 -115 3.5% play </v>
      </c>
      <c r="E121" s="11">
        <v>3.5</v>
      </c>
      <c r="F121" s="11">
        <v>-1.1499999999999999</v>
      </c>
      <c r="G121" s="11" t="s">
        <v>6</v>
      </c>
      <c r="H121" s="13">
        <v>-3500</v>
      </c>
      <c r="I121" s="14">
        <f t="shared" si="3"/>
        <v>0.43594170000000021</v>
      </c>
      <c r="J121" s="13">
        <f t="shared" si="4"/>
        <v>341050.9699999998</v>
      </c>
    </row>
    <row r="122" spans="1:10" x14ac:dyDescent="0.25">
      <c r="A122" s="10">
        <v>44178.847222222219</v>
      </c>
      <c r="B122" s="11" t="s">
        <v>2</v>
      </c>
      <c r="C122" s="11" t="s">
        <v>7</v>
      </c>
      <c r="D122" s="16" t="str">
        <f>HYPERLINK("https://freddywills.com/pick/7647/nfl-total-play-sunday-night-football-steelers-vs-bills-guaranteed-or-back.html", "Steelers/Bills O49 3.3% play")</f>
        <v>Steelers/Bills O49 3.3% play</v>
      </c>
      <c r="E122" s="11">
        <v>3.3</v>
      </c>
      <c r="F122" s="11">
        <v>-1.1000000000000001</v>
      </c>
      <c r="G122" s="11" t="s">
        <v>6</v>
      </c>
      <c r="H122" s="13">
        <v>-3300</v>
      </c>
      <c r="I122" s="14">
        <f t="shared" si="3"/>
        <v>0.47094170000000024</v>
      </c>
      <c r="J122" s="13">
        <f t="shared" si="4"/>
        <v>344550.9699999998</v>
      </c>
    </row>
    <row r="123" spans="1:10" x14ac:dyDescent="0.25">
      <c r="A123" s="10">
        <v>44178.847222222219</v>
      </c>
      <c r="B123" s="11" t="s">
        <v>2</v>
      </c>
      <c r="C123" s="11" t="s">
        <v>5</v>
      </c>
      <c r="D123" s="16" t="str">
        <f>HYPERLINK("https://freddywills.com/pick/7648/4-bills-vs-steelers-side-play-guaranteed-or-back-31-18-last-49-sports-picks.html", "Bills -130 4% play ")</f>
        <v xml:space="preserve">Bills -130 4% play </v>
      </c>
      <c r="E123" s="11">
        <v>4</v>
      </c>
      <c r="F123" s="11">
        <v>-1.3</v>
      </c>
      <c r="G123" s="11" t="s">
        <v>4</v>
      </c>
      <c r="H123" s="13">
        <v>3076.92</v>
      </c>
      <c r="I123" s="14">
        <f t="shared" si="3"/>
        <v>0.50394170000000027</v>
      </c>
      <c r="J123" s="13">
        <f t="shared" si="4"/>
        <v>347850.9699999998</v>
      </c>
    </row>
    <row r="124" spans="1:10" x14ac:dyDescent="0.25">
      <c r="A124" s="10">
        <v>44178.541666666664</v>
      </c>
      <c r="B124" s="11" t="s">
        <v>2</v>
      </c>
      <c r="C124" s="11" t="s">
        <v>7</v>
      </c>
      <c r="D124" s="16" t="str">
        <f>HYPERLINK("https://freddywills.com/pick/7646/3-3-nfl-total-of-the-week-guaranteed-or-back-17-9-last-26-over-plays.html", "Texans/Bears O46 3.3% play")</f>
        <v>Texans/Bears O46 3.3% play</v>
      </c>
      <c r="E124" s="11">
        <v>3.3</v>
      </c>
      <c r="F124" s="11">
        <v>-1.1000000000000001</v>
      </c>
      <c r="G124" s="11" t="s">
        <v>6</v>
      </c>
      <c r="H124" s="13">
        <v>-3300</v>
      </c>
      <c r="I124" s="14">
        <f t="shared" si="3"/>
        <v>0.47317250000000022</v>
      </c>
      <c r="J124" s="13">
        <f t="shared" si="4"/>
        <v>344774.04999999981</v>
      </c>
    </row>
    <row r="125" spans="1:10" x14ac:dyDescent="0.25">
      <c r="A125" s="10">
        <v>44178.541666666664</v>
      </c>
      <c r="B125" s="11" t="s">
        <v>2</v>
      </c>
      <c r="C125" s="11" t="s">
        <v>10</v>
      </c>
      <c r="D125" s="16" t="str">
        <f>HYPERLINK("https://freddywills.com/pick/7649/nfl-teaser-of-the-week-111-77-last-188-teaser-plays-86-22-guaranteed-or-back.html", "Bears +8 / Titans -1.5 3.3% Teaser Play ")</f>
        <v xml:space="preserve">Bears +8 / Titans -1.5 3.3% Teaser Play </v>
      </c>
      <c r="E125" s="11">
        <v>3.3</v>
      </c>
      <c r="F125" s="11">
        <v>-1.1000000000000001</v>
      </c>
      <c r="G125" s="11" t="s">
        <v>4</v>
      </c>
      <c r="H125" s="13">
        <v>3000</v>
      </c>
      <c r="I125" s="14">
        <f t="shared" si="3"/>
        <v>0.50617250000000025</v>
      </c>
      <c r="J125" s="13">
        <f t="shared" si="4"/>
        <v>348074.04999999981</v>
      </c>
    </row>
    <row r="126" spans="1:10" x14ac:dyDescent="0.25">
      <c r="A126" s="10">
        <v>44178.541666666664</v>
      </c>
      <c r="B126" s="11" t="s">
        <v>2</v>
      </c>
      <c r="C126" s="11" t="s">
        <v>5</v>
      </c>
      <c r="D126" s="16" t="str">
        <f>HYPERLINK("https://freddywills.com/pick/7650/1-1-free-play-falcons-vs-chargers-61-31-last-92-nfl-free-picks.html", "Chargers -1 1.1% Free Play ")</f>
        <v xml:space="preserve">Chargers -1 1.1% Free Play </v>
      </c>
      <c r="E126" s="11">
        <v>1.1000000000000001</v>
      </c>
      <c r="F126" s="11">
        <v>-1.1000000000000001</v>
      </c>
      <c r="G126" s="11" t="s">
        <v>4</v>
      </c>
      <c r="H126" s="13">
        <v>1000</v>
      </c>
      <c r="I126" s="14">
        <f t="shared" si="3"/>
        <v>0.47617250000000022</v>
      </c>
      <c r="J126" s="13">
        <f t="shared" si="4"/>
        <v>345074.04999999981</v>
      </c>
    </row>
    <row r="127" spans="1:10" x14ac:dyDescent="0.25">
      <c r="A127" s="10">
        <v>44178.541666666664</v>
      </c>
      <c r="B127" s="11" t="s">
        <v>2</v>
      </c>
      <c r="C127" s="11" t="s">
        <v>5</v>
      </c>
      <c r="D127" s="16" t="str">
        <f>HYPERLINK("https://freddywills.com/pick/7651/5-5-nfl-pod-65-33-last-98-max-rated-nfl-pod-s-guaranteed-or-back.html", "Dolphins +7.5 -1.20 buy 1/2 - +100 or -105 in many places currently. ")</f>
        <v xml:space="preserve">Dolphins +7.5 -1.20 buy 1/2 - +100 or -105 in many places currently. </v>
      </c>
      <c r="E127" s="11">
        <v>5.5</v>
      </c>
      <c r="F127" s="11">
        <v>-1.2</v>
      </c>
      <c r="G127" s="11" t="s">
        <v>4</v>
      </c>
      <c r="H127" s="13">
        <v>4583.33</v>
      </c>
      <c r="I127" s="14">
        <f t="shared" si="3"/>
        <v>0.46617250000000021</v>
      </c>
      <c r="J127" s="13">
        <f t="shared" si="4"/>
        <v>344074.04999999981</v>
      </c>
    </row>
    <row r="128" spans="1:10" x14ac:dyDescent="0.25">
      <c r="A128" s="10">
        <v>44178.541666666664</v>
      </c>
      <c r="B128" s="11" t="s">
        <v>2</v>
      </c>
      <c r="C128" s="11" t="s">
        <v>5</v>
      </c>
      <c r="D128" s="16" t="str">
        <f>HYPERLINK("https://freddywills.com/pick/7652/2-2-play-colts-vs-raiders-guaranteed-or-back.html", "Raiders +3 2.2% play ")</f>
        <v xml:space="preserve">Raiders +3 2.2% play </v>
      </c>
      <c r="E128" s="11">
        <v>2.2000000000000002</v>
      </c>
      <c r="F128" s="11">
        <v>-1.1000000000000001</v>
      </c>
      <c r="G128" s="11" t="s">
        <v>6</v>
      </c>
      <c r="H128" s="13">
        <v>-2200</v>
      </c>
      <c r="I128" s="14">
        <f t="shared" si="3"/>
        <v>0.42033920000000019</v>
      </c>
      <c r="J128" s="13">
        <f t="shared" si="4"/>
        <v>339490.7199999998</v>
      </c>
    </row>
    <row r="129" spans="1:10" x14ac:dyDescent="0.25">
      <c r="A129" s="10">
        <v>44177.8125</v>
      </c>
      <c r="B129" s="11" t="s">
        <v>8</v>
      </c>
      <c r="C129" s="11" t="s">
        <v>18</v>
      </c>
      <c r="D129" s="16" t="str">
        <f>HYPERLINK("https://freddywills.com/pick/7643/usc-vs-ucla-3-5-play-guaranteed-or-back-90-68-last-158-3-ncaaf-plays-52-42.html", "USC -165 3.5% PLAY ")</f>
        <v xml:space="preserve">USC -165 3.5% PLAY </v>
      </c>
      <c r="E129" s="11">
        <v>3.5</v>
      </c>
      <c r="F129" s="11">
        <v>-1.65</v>
      </c>
      <c r="G129" s="11" t="s">
        <v>4</v>
      </c>
      <c r="H129" s="13">
        <v>2121</v>
      </c>
      <c r="I129" s="14">
        <f t="shared" si="3"/>
        <v>0.44233920000000021</v>
      </c>
      <c r="J129" s="13">
        <f t="shared" si="4"/>
        <v>341690.7199999998</v>
      </c>
    </row>
    <row r="130" spans="1:10" x14ac:dyDescent="0.25">
      <c r="A130" s="10">
        <v>44177.75</v>
      </c>
      <c r="B130" s="11" t="s">
        <v>8</v>
      </c>
      <c r="C130" s="11" t="s">
        <v>10</v>
      </c>
      <c r="D130" s="16" t="str">
        <f>HYPERLINK("https://freddywills.com/pick/7645/teaser-fill-open-play.html", "Iowa +8.5 / Wyoming +14.5 filling open spot on teaser with Wash St game cancled - fill in Wyoming +14.5 for the second leg of the teaser")</f>
        <v>Iowa +8.5 / Wyoming +14.5 filling open spot on teaser with Wash St game cancled - fill in Wyoming +14.5 for the second leg of the teaser</v>
      </c>
      <c r="E130" s="11">
        <v>3.3</v>
      </c>
      <c r="F130" s="11">
        <v>-1.1000000000000001</v>
      </c>
      <c r="G130" s="11" t="s">
        <v>4</v>
      </c>
      <c r="H130" s="13">
        <v>3000</v>
      </c>
      <c r="I130" s="14">
        <f t="shared" si="3"/>
        <v>0.4211292000000002</v>
      </c>
      <c r="J130" s="13">
        <f t="shared" si="4"/>
        <v>339569.7199999998</v>
      </c>
    </row>
    <row r="131" spans="1:10" x14ac:dyDescent="0.25">
      <c r="A131" s="10">
        <v>44177.65625</v>
      </c>
      <c r="B131" s="11" t="s">
        <v>8</v>
      </c>
      <c r="C131" s="11" t="s">
        <v>5</v>
      </c>
      <c r="D131" s="16" t="str">
        <f>HYPERLINK("https://freddywills.com/pick/7642/memphis-vs-houston-guaranteed-or-back-27-12-run-on-all-sports-picks.html", "Memphis +4.5 2.2% play ")</f>
        <v xml:space="preserve">Memphis +4.5 2.2% play </v>
      </c>
      <c r="E131" s="11">
        <v>2.2000000000000002</v>
      </c>
      <c r="F131" s="11">
        <v>-1.1000000000000001</v>
      </c>
      <c r="G131" s="11" t="s">
        <v>4</v>
      </c>
      <c r="H131" s="13">
        <v>2000</v>
      </c>
      <c r="I131" s="14">
        <f t="shared" si="3"/>
        <v>0.39112920000000018</v>
      </c>
      <c r="J131" s="13">
        <f t="shared" si="4"/>
        <v>336569.7199999998</v>
      </c>
    </row>
    <row r="132" spans="1:10" x14ac:dyDescent="0.25">
      <c r="A132" s="10">
        <v>44177.645833333336</v>
      </c>
      <c r="B132" s="11" t="s">
        <v>8</v>
      </c>
      <c r="C132" s="11" t="s">
        <v>10</v>
      </c>
      <c r="D132" s="16" t="str">
        <f>HYPERLINK("https://freddywills.com/pick/7638/teaser-of-the-week-big10-pac12-50-34-50-216-l-84-ncaaf-teasers-guaranteed-or-back.html", "Wash State +8 / Iowa +8.5 3.3% play ")</f>
        <v xml:space="preserve">Wash State +8 / Iowa +8.5 3.3% play </v>
      </c>
      <c r="E132" s="11">
        <v>3.3</v>
      </c>
      <c r="F132" s="11">
        <v>-1.1000000000000001</v>
      </c>
      <c r="G132" s="11" t="s">
        <v>11</v>
      </c>
      <c r="H132" s="13">
        <v>0</v>
      </c>
      <c r="I132" s="14">
        <f t="shared" si="3"/>
        <v>0.37112920000000016</v>
      </c>
      <c r="J132" s="13">
        <f t="shared" si="4"/>
        <v>334569.7199999998</v>
      </c>
    </row>
    <row r="133" spans="1:10" x14ac:dyDescent="0.25">
      <c r="A133" s="10">
        <v>44177.645833333336</v>
      </c>
      <c r="B133" s="11" t="s">
        <v>8</v>
      </c>
      <c r="C133" s="11" t="s">
        <v>5</v>
      </c>
      <c r="D133" s="16" t="str">
        <f>HYPERLINK("https://freddywills.com/pick/7641/miami-vs-north-carolina-guaranteed-or-back-27-12-last-39-sports-picks.html", "Miami -3 2.2% play ")</f>
        <v xml:space="preserve">Miami -3 2.2% play </v>
      </c>
      <c r="E133" s="11">
        <v>2.2000000000000002</v>
      </c>
      <c r="F133" s="11">
        <v>-1.1000000000000001</v>
      </c>
      <c r="G133" s="11" t="s">
        <v>6</v>
      </c>
      <c r="H133" s="13">
        <v>-2200</v>
      </c>
      <c r="I133" s="14">
        <f t="shared" si="3"/>
        <v>0.37112920000000016</v>
      </c>
      <c r="J133" s="13">
        <f t="shared" si="4"/>
        <v>334569.7199999998</v>
      </c>
    </row>
    <row r="134" spans="1:10" x14ac:dyDescent="0.25">
      <c r="A134" s="10">
        <v>44177.625</v>
      </c>
      <c r="B134" s="11" t="s">
        <v>8</v>
      </c>
      <c r="C134" s="11" t="s">
        <v>5</v>
      </c>
      <c r="D134" s="16" t="str">
        <f>HYPERLINK("https://freddywills.com/pick/7637/army-vs-navy-guaranteed-or-back-8-2-1-history-betting-this-game.html", "Navy +7 2.2% play ")</f>
        <v xml:space="preserve">Navy +7 2.2% play </v>
      </c>
      <c r="E134" s="11">
        <v>2.2000000000000002</v>
      </c>
      <c r="F134" s="11">
        <v>-1.1000000000000001</v>
      </c>
      <c r="G134" s="11" t="s">
        <v>6</v>
      </c>
      <c r="H134" s="13">
        <v>-2200</v>
      </c>
      <c r="I134" s="14">
        <f t="shared" si="3"/>
        <v>0.39312920000000018</v>
      </c>
      <c r="J134" s="13">
        <f t="shared" si="4"/>
        <v>336769.7199999998</v>
      </c>
    </row>
    <row r="135" spans="1:10" x14ac:dyDescent="0.25">
      <c r="A135" s="10">
        <v>44177.5</v>
      </c>
      <c r="B135" s="11" t="s">
        <v>8</v>
      </c>
      <c r="C135" s="11" t="s">
        <v>5</v>
      </c>
      <c r="D135" s="16" t="str">
        <f>HYPERLINK("https://freddywills.com/pick/7636/free-pick-saturday-55-38-last-93-free-picks-in-college-59-1-winners-since-oct-2015-on-free-picks.html", "Nebraska -10.5 1.1% Free Play ")</f>
        <v xml:space="preserve">Nebraska -10.5 1.1% Free Play </v>
      </c>
      <c r="E135" s="11">
        <v>1.1000000000000001</v>
      </c>
      <c r="F135" s="11">
        <v>-1.1000000000000001</v>
      </c>
      <c r="G135" s="11" t="s">
        <v>6</v>
      </c>
      <c r="H135" s="13">
        <v>-1100</v>
      </c>
      <c r="I135" s="14">
        <f t="shared" si="3"/>
        <v>0.4151292000000002</v>
      </c>
      <c r="J135" s="13">
        <f t="shared" si="4"/>
        <v>338969.7199999998</v>
      </c>
    </row>
    <row r="136" spans="1:10" x14ac:dyDescent="0.25">
      <c r="A136" s="10">
        <v>44177.5</v>
      </c>
      <c r="B136" s="11" t="s">
        <v>8</v>
      </c>
      <c r="C136" s="11" t="s">
        <v>5</v>
      </c>
      <c r="D136" s="16" t="str">
        <f>HYPERLINK("https://freddywills.com/pick/7639/3-3-play-alabama-vs-arkansas-150-106-112-036-l-256-all-sports-3-bankroll-guaranteed-or-bac.html", "Arkansas +32 3.3% play ")</f>
        <v xml:space="preserve">Arkansas +32 3.3% play </v>
      </c>
      <c r="E136" s="11">
        <v>3.3</v>
      </c>
      <c r="F136" s="11">
        <v>-1.1000000000000001</v>
      </c>
      <c r="G136" s="11" t="s">
        <v>6</v>
      </c>
      <c r="H136" s="13">
        <v>-3300</v>
      </c>
      <c r="I136" s="14">
        <f t="shared" si="3"/>
        <v>0.42612920000000021</v>
      </c>
      <c r="J136" s="13">
        <f t="shared" si="4"/>
        <v>340069.7199999998</v>
      </c>
    </row>
    <row r="137" spans="1:10" x14ac:dyDescent="0.25">
      <c r="A137" s="10">
        <v>44177.5</v>
      </c>
      <c r="B137" s="11" t="s">
        <v>8</v>
      </c>
      <c r="C137" s="11" t="s">
        <v>5</v>
      </c>
      <c r="D137" s="16" t="str">
        <f>HYPERLINK("https://freddywills.com/pick/7640/4-play-utah-vs-colorado-guaranteed-or-back-197-151-118-220-l-348-ncaaf-4-bankroll.html", "Utah +3 -120 4% play ")</f>
        <v xml:space="preserve">Utah +3 -120 4% play </v>
      </c>
      <c r="E137" s="11">
        <v>4</v>
      </c>
      <c r="F137" s="11">
        <v>-1.2</v>
      </c>
      <c r="G137" s="11" t="s">
        <v>4</v>
      </c>
      <c r="H137" s="13">
        <v>3333.33</v>
      </c>
      <c r="I137" s="14">
        <f t="shared" si="3"/>
        <v>0.45912920000000024</v>
      </c>
      <c r="J137" s="13">
        <f t="shared" si="4"/>
        <v>343369.7199999998</v>
      </c>
    </row>
    <row r="138" spans="1:10" x14ac:dyDescent="0.25">
      <c r="A138" s="10">
        <v>44177.342361111114</v>
      </c>
      <c r="B138" s="11" t="s">
        <v>8</v>
      </c>
      <c r="C138" s="11" t="s">
        <v>5</v>
      </c>
      <c r="D138" s="16" t="str">
        <f>HYPERLINK("https://freddywills.com/pick/7644/virginia-vs-virginiatech-3-3-play-guaranteed-or-back-145-108-163-676-l-253-ncaaf-picks.html", "Virginia +3 3.3% play ")</f>
        <v xml:space="preserve">Virginia +3 3.3% play </v>
      </c>
      <c r="E138" s="11">
        <v>3.3</v>
      </c>
      <c r="F138" s="11">
        <v>-1.1000000000000001</v>
      </c>
      <c r="G138" s="11" t="s">
        <v>6</v>
      </c>
      <c r="H138" s="13">
        <v>-3300</v>
      </c>
      <c r="I138" s="14">
        <f t="shared" si="3"/>
        <v>0.42579590000000023</v>
      </c>
      <c r="J138" s="13">
        <f t="shared" si="4"/>
        <v>340036.38999999978</v>
      </c>
    </row>
    <row r="139" spans="1:10" x14ac:dyDescent="0.25">
      <c r="A139" s="10">
        <v>44176.916666666664</v>
      </c>
      <c r="B139" s="11" t="s">
        <v>8</v>
      </c>
      <c r="C139" s="11" t="s">
        <v>18</v>
      </c>
      <c r="D139" s="16" t="str">
        <f>HYPERLINK("https://freddywills.com/pick/7635/mountain-west-game-of-the-week-friday-night-guaranteed-or-back-90-68-52-425-l-158-ncaaf-3.html", "Nevada +115 3% play ")</f>
        <v xml:space="preserve">Nevada +115 3% play </v>
      </c>
      <c r="E139" s="11">
        <v>3</v>
      </c>
      <c r="F139" s="11">
        <v>1.1499999999999999</v>
      </c>
      <c r="G139" s="11" t="s">
        <v>6</v>
      </c>
      <c r="H139" s="13">
        <v>-3000</v>
      </c>
      <c r="I139" s="14">
        <f t="shared" si="3"/>
        <v>0.45879590000000026</v>
      </c>
      <c r="J139" s="13">
        <f t="shared" si="4"/>
        <v>343336.38999999978</v>
      </c>
    </row>
    <row r="140" spans="1:10" x14ac:dyDescent="0.25">
      <c r="A140" s="10">
        <v>44172.708333333336</v>
      </c>
      <c r="B140" s="11" t="s">
        <v>2</v>
      </c>
      <c r="C140" s="11" t="s">
        <v>5</v>
      </c>
      <c r="D140" s="16" t="str">
        <f>HYPERLINK("https://freddywills.com/pick/7630/monday-night-football-redskins-vs-steelers-3-3-play-guaranteed-or-back-68-45-62-476-l.html", "Washington Football Team +7 3.3% play ")</f>
        <v xml:space="preserve">Washington Football Team +7 3.3% play </v>
      </c>
      <c r="E140" s="11">
        <v>3.3</v>
      </c>
      <c r="F140" s="11">
        <v>-1.1000000000000001</v>
      </c>
      <c r="G140" s="11" t="s">
        <v>4</v>
      </c>
      <c r="H140" s="13">
        <v>3000</v>
      </c>
      <c r="I140" s="14">
        <f t="shared" si="3"/>
        <v>0.48879590000000028</v>
      </c>
      <c r="J140" s="13">
        <f t="shared" si="4"/>
        <v>346336.38999999978</v>
      </c>
    </row>
    <row r="141" spans="1:10" x14ac:dyDescent="0.25">
      <c r="A141" s="10">
        <v>44172.670138888891</v>
      </c>
      <c r="B141" s="11" t="s">
        <v>2</v>
      </c>
      <c r="C141" s="11" t="s">
        <v>18</v>
      </c>
      <c r="D141" s="16" t="str">
        <f>HYPERLINK("https://freddywills.com/pick/7634/monday-night-football-bills-vs-49ers-guaranteed-or-back.html", "49ERS -125 2.5% PLAY ")</f>
        <v xml:space="preserve">49ERS -125 2.5% PLAY </v>
      </c>
      <c r="E141" s="11">
        <v>2.5</v>
      </c>
      <c r="F141" s="11">
        <v>-125</v>
      </c>
      <c r="G141" s="11" t="s">
        <v>6</v>
      </c>
      <c r="H141" s="13">
        <v>-2500</v>
      </c>
      <c r="I141" s="14">
        <f t="shared" si="3"/>
        <v>0.45879590000000026</v>
      </c>
      <c r="J141" s="13">
        <f t="shared" si="4"/>
        <v>343336.38999999978</v>
      </c>
    </row>
    <row r="142" spans="1:10" x14ac:dyDescent="0.25">
      <c r="A142" s="10">
        <v>44171.670138888891</v>
      </c>
      <c r="B142" s="11" t="s">
        <v>2</v>
      </c>
      <c r="C142" s="11" t="s">
        <v>5</v>
      </c>
      <c r="D142" s="16" t="str">
        <f>HYPERLINK("https://freddywills.com/pick/7631/late-afternoon-money-line-winner-31-16-90-009-l-47-nfl-money-line-plays.html", "Rams -140 3% play ")</f>
        <v xml:space="preserve">Rams -140 3% play </v>
      </c>
      <c r="E142" s="11">
        <v>3</v>
      </c>
      <c r="F142" s="11">
        <v>-1.4</v>
      </c>
      <c r="G142" s="11" t="s">
        <v>4</v>
      </c>
      <c r="H142" s="13">
        <v>2143</v>
      </c>
      <c r="I142" s="14">
        <f t="shared" si="3"/>
        <v>0.48379590000000028</v>
      </c>
      <c r="J142" s="13">
        <f t="shared" si="4"/>
        <v>345836.38999999978</v>
      </c>
    </row>
    <row r="143" spans="1:10" x14ac:dyDescent="0.25">
      <c r="A143" s="10">
        <v>44171.611805555556</v>
      </c>
      <c r="B143" s="11" t="s">
        <v>2</v>
      </c>
      <c r="C143" s="11" t="s">
        <v>18</v>
      </c>
      <c r="D143" s="16" t="str">
        <f>HYPERLINK("https://freddywills.com/pick/7633/vikings-jaguars-live-wager.html", "Vikings +104 1% ")</f>
        <v xml:space="preserve">Vikings +104 1% </v>
      </c>
      <c r="E143" s="11">
        <v>1</v>
      </c>
      <c r="F143" s="11">
        <v>1.04</v>
      </c>
      <c r="G143" s="11" t="s">
        <v>4</v>
      </c>
      <c r="H143" s="13">
        <v>1040</v>
      </c>
      <c r="I143" s="14">
        <f t="shared" si="3"/>
        <v>0.46236590000000027</v>
      </c>
      <c r="J143" s="13">
        <f t="shared" si="4"/>
        <v>343693.38999999978</v>
      </c>
    </row>
    <row r="144" spans="1:10" x14ac:dyDescent="0.25">
      <c r="A144" s="10">
        <v>44171.611111111109</v>
      </c>
      <c r="B144" s="11" t="s">
        <v>2</v>
      </c>
      <c r="C144" s="11" t="s">
        <v>5</v>
      </c>
      <c r="D144" s="16" t="str">
        <f>HYPERLINK("https://freddywills.com/pick/7632/jaguars-vikings-2nd-half-free-play.html", "Vikings -6.5 1.1% Free Play ")</f>
        <v xml:space="preserve">Vikings -6.5 1.1% Free Play </v>
      </c>
      <c r="E144" s="11">
        <v>1.1000000000000001</v>
      </c>
      <c r="F144" s="11">
        <v>-1.1000000000000001</v>
      </c>
      <c r="G144" s="11" t="s">
        <v>6</v>
      </c>
      <c r="H144" s="13">
        <v>-1100</v>
      </c>
      <c r="I144" s="14">
        <f t="shared" si="3"/>
        <v>0.45196590000000025</v>
      </c>
      <c r="J144" s="13">
        <f t="shared" si="4"/>
        <v>342653.38999999978</v>
      </c>
    </row>
    <row r="145" spans="1:10" x14ac:dyDescent="0.25">
      <c r="A145" s="10">
        <v>44171.541666666664</v>
      </c>
      <c r="B145" s="11" t="s">
        <v>2</v>
      </c>
      <c r="C145" s="11" t="s">
        <v>5</v>
      </c>
      <c r="D145" s="16" t="str">
        <f>HYPERLINK("https://freddywills.com/pick/7624/nfl-total-of-the-week-16-9-13-735-l-25-over-the-total-for-all-sports-guaranteed-or-back.html", "Browns/Titans Over 53 3.3% play ")</f>
        <v xml:space="preserve">Browns/Titans Over 53 3.3% play </v>
      </c>
      <c r="E145" s="11">
        <v>3.3</v>
      </c>
      <c r="F145" s="11">
        <v>-1.1000000000000001</v>
      </c>
      <c r="G145" s="11" t="s">
        <v>4</v>
      </c>
      <c r="H145" s="13">
        <v>3000</v>
      </c>
      <c r="I145" s="14">
        <f t="shared" si="3"/>
        <v>0.46296590000000026</v>
      </c>
      <c r="J145" s="13">
        <f t="shared" si="4"/>
        <v>343753.38999999978</v>
      </c>
    </row>
    <row r="146" spans="1:10" x14ac:dyDescent="0.25">
      <c r="A146" s="10">
        <v>44171.541666666664</v>
      </c>
      <c r="B146" s="11" t="s">
        <v>2</v>
      </c>
      <c r="C146" s="11" t="s">
        <v>5</v>
      </c>
      <c r="D146" s="16" t="str">
        <f>HYPERLINK("https://freddywills.com/pick/7625/sunday-s-nfl-free-pick-60-31-last-91-free-nfl-picks-jaguars-vs-vikings.html", "Jaguars +10.5 1.1% Free Play ")</f>
        <v xml:space="preserve">Jaguars +10.5 1.1% Free Play </v>
      </c>
      <c r="E146" s="11">
        <v>1.1000000000000001</v>
      </c>
      <c r="F146" s="11">
        <v>-1.1000000000000001</v>
      </c>
      <c r="G146" s="11" t="s">
        <v>4</v>
      </c>
      <c r="H146" s="13">
        <v>1000</v>
      </c>
      <c r="I146" s="14">
        <f t="shared" si="3"/>
        <v>0.43296590000000024</v>
      </c>
      <c r="J146" s="13">
        <f t="shared" si="4"/>
        <v>340753.38999999978</v>
      </c>
    </row>
    <row r="147" spans="1:10" x14ac:dyDescent="0.25">
      <c r="A147" s="10">
        <v>44171.541666666664</v>
      </c>
      <c r="B147" s="11" t="s">
        <v>2</v>
      </c>
      <c r="C147" s="11" t="s">
        <v>10</v>
      </c>
      <c r="D147" s="16" t="str">
        <f>HYPERLINK("https://freddywills.com/pick/7626/nfl-teaser-of-the-week-108-77-last-185-sports-teasers-guaranteed-or-back.html", "Falcons +8.5 / Patriots +7.5 3.3% play ")</f>
        <v xml:space="preserve">Falcons +8.5 / Patriots +7.5 3.3% play </v>
      </c>
      <c r="E147" s="11">
        <v>3.3</v>
      </c>
      <c r="F147" s="11">
        <v>-1.1000000000000001</v>
      </c>
      <c r="G147" s="11" t="s">
        <v>4</v>
      </c>
      <c r="H147" s="13">
        <v>3000</v>
      </c>
      <c r="I147" s="14">
        <f t="shared" si="3"/>
        <v>0.42296590000000023</v>
      </c>
      <c r="J147" s="13">
        <f t="shared" si="4"/>
        <v>339753.38999999978</v>
      </c>
    </row>
    <row r="148" spans="1:10" x14ac:dyDescent="0.25">
      <c r="A148" s="10">
        <v>44171.541666666664</v>
      </c>
      <c r="B148" s="11" t="s">
        <v>2</v>
      </c>
      <c r="C148" s="11" t="s">
        <v>5</v>
      </c>
      <c r="D148" s="16" t="str">
        <f>HYPERLINK("https://freddywills.com/pick/7627/4-play-guaranteed-or-back-75-48-103-979-l-123-nfl-picks-in-december.html", "Colts -3 -115 4% play ")</f>
        <v xml:space="preserve">Colts -3 -115 4% play </v>
      </c>
      <c r="E148" s="11">
        <v>4</v>
      </c>
      <c r="F148" s="11">
        <v>-1.1499999999999999</v>
      </c>
      <c r="G148" s="11" t="s">
        <v>4</v>
      </c>
      <c r="H148" s="13">
        <v>3478.26</v>
      </c>
      <c r="I148" s="14">
        <f t="shared" si="3"/>
        <v>0.39296590000000026</v>
      </c>
      <c r="J148" s="13">
        <f t="shared" si="4"/>
        <v>336753.38999999978</v>
      </c>
    </row>
    <row r="149" spans="1:10" x14ac:dyDescent="0.25">
      <c r="A149" s="10">
        <v>44171.541666666664</v>
      </c>
      <c r="B149" s="11" t="s">
        <v>2</v>
      </c>
      <c r="C149" s="11" t="s">
        <v>7</v>
      </c>
      <c r="D149" s="16" t="str">
        <f>HYPERLINK("https://freddywills.com/pick/7628/nfl-total-play-colts-vs-texans-guaranteed-or-back.html", "Colts/Texans Under 50.5 2.2% play ")</f>
        <v xml:space="preserve">Colts/Texans Under 50.5 2.2% play </v>
      </c>
      <c r="E149" s="11">
        <v>2.2000000000000002</v>
      </c>
      <c r="F149" s="11">
        <v>-1.1000000000000001</v>
      </c>
      <c r="G149" s="11" t="s">
        <v>4</v>
      </c>
      <c r="H149" s="13">
        <v>2000</v>
      </c>
      <c r="I149" s="14">
        <f t="shared" si="3"/>
        <v>0.35818330000000026</v>
      </c>
      <c r="J149" s="13">
        <f t="shared" si="4"/>
        <v>333275.12999999977</v>
      </c>
    </row>
    <row r="150" spans="1:10" x14ac:dyDescent="0.25">
      <c r="A150" s="10">
        <v>44171.541666666664</v>
      </c>
      <c r="B150" s="11" t="s">
        <v>2</v>
      </c>
      <c r="C150" s="11" t="s">
        <v>5</v>
      </c>
      <c r="D150" s="16" t="str">
        <f>HYPERLINK("https://freddywills.com/pick/7629/5-5-nfl-pod-guaranteed-or-back-64-33-154-050-l-97-max-rated-nfl-picks.html", "Browns +4.5 5.5% NFL POD")</f>
        <v>Browns +4.5 5.5% NFL POD</v>
      </c>
      <c r="E150" s="11">
        <v>5.5</v>
      </c>
      <c r="F150" s="11">
        <v>-1.1000000000000001</v>
      </c>
      <c r="G150" s="11" t="s">
        <v>4</v>
      </c>
      <c r="H150" s="13">
        <v>5000</v>
      </c>
      <c r="I150" s="14">
        <f t="shared" si="3"/>
        <v>0.33818330000000024</v>
      </c>
      <c r="J150" s="13">
        <f t="shared" si="4"/>
        <v>331275.12999999977</v>
      </c>
    </row>
    <row r="151" spans="1:10" x14ac:dyDescent="0.25">
      <c r="A151" s="10">
        <v>44170.833333333336</v>
      </c>
      <c r="B151" s="11" t="s">
        <v>8</v>
      </c>
      <c r="C151" s="11" t="s">
        <v>5</v>
      </c>
      <c r="D151" s="16" t="str">
        <f>HYPERLINK("https://freddywills.com/pick/7619/oklahoma-vs-baylor-guaranteed-or-back-2-2-play.html", "Oklahoma -11.5 1st Half 2.2% play ")</f>
        <v xml:space="preserve">Oklahoma -11.5 1st Half 2.2% play </v>
      </c>
      <c r="E151" s="11">
        <v>2.2000000000000002</v>
      </c>
      <c r="F151" s="11">
        <v>-1.1000000000000001</v>
      </c>
      <c r="G151" s="11" t="s">
        <v>6</v>
      </c>
      <c r="H151" s="13">
        <v>-2200</v>
      </c>
      <c r="I151" s="14">
        <f t="shared" si="3"/>
        <v>0.28818330000000025</v>
      </c>
      <c r="J151" s="13">
        <f t="shared" si="4"/>
        <v>326275.12999999977</v>
      </c>
    </row>
    <row r="152" spans="1:10" x14ac:dyDescent="0.25">
      <c r="A152" s="10">
        <v>44170.729166666664</v>
      </c>
      <c r="B152" s="11" t="s">
        <v>8</v>
      </c>
      <c r="C152" s="11" t="s">
        <v>5</v>
      </c>
      <c r="D152" s="16" t="str">
        <f>HYPERLINK("https://freddywills.com/pick/7621/coastal-carolina-vs-byu-guaranteed-or-back-3-3-play.html", "Coastal Carolina +10.5 3.3% play ")</f>
        <v xml:space="preserve">Coastal Carolina +10.5 3.3% play </v>
      </c>
      <c r="E152" s="11">
        <v>3.3</v>
      </c>
      <c r="F152" s="11">
        <v>-1.1000000000000001</v>
      </c>
      <c r="G152" s="11" t="s">
        <v>4</v>
      </c>
      <c r="H152" s="13">
        <v>3000</v>
      </c>
      <c r="I152" s="14">
        <f t="shared" si="3"/>
        <v>0.31018330000000027</v>
      </c>
      <c r="J152" s="13">
        <f t="shared" si="4"/>
        <v>328475.12999999977</v>
      </c>
    </row>
    <row r="153" spans="1:10" x14ac:dyDescent="0.25">
      <c r="A153" s="10">
        <v>44170.645833333336</v>
      </c>
      <c r="B153" s="11" t="s">
        <v>8</v>
      </c>
      <c r="C153" s="11" t="s">
        <v>5</v>
      </c>
      <c r="D153" s="16" t="str">
        <f>HYPERLINK("https://freddywills.com/pick/7620/west-virginia-vs-iowa-state-3-play-guaranteed-or-back-102-82-106-757-l-184-ncaaf-picks.html", "West Virginia +7 -125 buy hook 3% play ")</f>
        <v xml:space="preserve">West Virginia +7 -125 buy hook 3% play </v>
      </c>
      <c r="E153" s="11">
        <v>3</v>
      </c>
      <c r="F153" s="11">
        <v>-1.25</v>
      </c>
      <c r="G153" s="11" t="s">
        <v>6</v>
      </c>
      <c r="H153" s="13">
        <v>-3000</v>
      </c>
      <c r="I153" s="14">
        <f t="shared" si="3"/>
        <v>0.28018330000000025</v>
      </c>
      <c r="J153" s="13">
        <f t="shared" si="4"/>
        <v>325475.12999999977</v>
      </c>
    </row>
    <row r="154" spans="1:10" x14ac:dyDescent="0.25">
      <c r="A154" s="10">
        <v>44170.645833333336</v>
      </c>
      <c r="B154" s="11" t="s">
        <v>8</v>
      </c>
      <c r="C154" s="11" t="s">
        <v>5</v>
      </c>
      <c r="D154" s="16" t="str">
        <f>HYPERLINK("https://freddywills.com/pick/7623/2-acc-play-virginia-vs-bc-guaranteed-or-back.html", "Virginia -165 2% play")</f>
        <v>Virginia -165 2% play</v>
      </c>
      <c r="E154" s="11">
        <v>2</v>
      </c>
      <c r="F154" s="11">
        <v>-1.1000000000000001</v>
      </c>
      <c r="G154" s="11" t="s">
        <v>4</v>
      </c>
      <c r="H154" s="13">
        <v>1818.18</v>
      </c>
      <c r="I154" s="14">
        <f t="shared" si="3"/>
        <v>0.31018330000000027</v>
      </c>
      <c r="J154" s="13">
        <f t="shared" si="4"/>
        <v>328475.12999999977</v>
      </c>
    </row>
    <row r="155" spans="1:10" x14ac:dyDescent="0.25">
      <c r="A155" s="10">
        <v>44170.5</v>
      </c>
      <c r="B155" s="11" t="s">
        <v>8</v>
      </c>
      <c r="C155" s="11" t="s">
        <v>5</v>
      </c>
      <c r="D155" s="16" t="str">
        <f>HYPERLINK("https://freddywills.com/pick/7613/saturday-s-college-football-play-ohiostate-vs-michiganst-guaranteed-or-back.html", "Ohio State -21.5 3.3% play ")</f>
        <v xml:space="preserve">Ohio State -21.5 3.3% play </v>
      </c>
      <c r="E155" s="11">
        <v>3.3</v>
      </c>
      <c r="F155" s="11">
        <v>-1.1000000000000001</v>
      </c>
      <c r="G155" s="11" t="s">
        <v>4</v>
      </c>
      <c r="H155" s="13">
        <v>3000</v>
      </c>
      <c r="I155" s="14">
        <f t="shared" si="3"/>
        <v>0.29200150000000025</v>
      </c>
      <c r="J155" s="13">
        <f t="shared" si="4"/>
        <v>326656.94999999978</v>
      </c>
    </row>
    <row r="156" spans="1:10" x14ac:dyDescent="0.25">
      <c r="A156" s="10">
        <v>44170.5</v>
      </c>
      <c r="B156" s="11" t="s">
        <v>8</v>
      </c>
      <c r="C156" s="11" t="s">
        <v>5</v>
      </c>
      <c r="D156" s="16" t="str">
        <f>HYPERLINK("https://freddywills.com/pick/7616/saturday-s-college-football-early-action-auburn-vs-texasam-guaranteed-or-back.html", "Auburn +7 -125 3.5% play  buy the hook")</f>
        <v>Auburn +7 -125 3.5% play  buy the hook</v>
      </c>
      <c r="E156" s="11">
        <v>3.5</v>
      </c>
      <c r="F156" s="11">
        <v>-1.25</v>
      </c>
      <c r="G156" s="11" t="s">
        <v>6</v>
      </c>
      <c r="H156" s="13">
        <v>-3500</v>
      </c>
      <c r="I156" s="14">
        <f t="shared" si="3"/>
        <v>0.26200150000000022</v>
      </c>
      <c r="J156" s="13">
        <f t="shared" si="4"/>
        <v>323656.94999999978</v>
      </c>
    </row>
    <row r="157" spans="1:10" x14ac:dyDescent="0.25">
      <c r="A157" s="10">
        <v>44170.5</v>
      </c>
      <c r="B157" s="11" t="s">
        <v>8</v>
      </c>
      <c r="C157" s="11" t="s">
        <v>5</v>
      </c>
      <c r="D157" s="16" t="str">
        <f>HYPERLINK("https://freddywills.com/pick/7617/kansas-state-vs-texas-3-play-guaranteed-or-back-54-35-48-552-l-89-all-sports-3-bankro.html", "Kansas State +7 2.2% play / Kansas State +240 1% play ")</f>
        <v xml:space="preserve">Kansas State +7 2.2% play / Kansas State +240 1% play </v>
      </c>
      <c r="E157" s="11">
        <v>3</v>
      </c>
      <c r="F157" s="11">
        <v>-1.1000000000000001</v>
      </c>
      <c r="G157" s="11" t="s">
        <v>6</v>
      </c>
      <c r="H157" s="13">
        <v>-3000</v>
      </c>
      <c r="I157" s="14">
        <f t="shared" si="3"/>
        <v>0.29700150000000025</v>
      </c>
      <c r="J157" s="13">
        <f t="shared" si="4"/>
        <v>327156.94999999978</v>
      </c>
    </row>
    <row r="158" spans="1:10" x14ac:dyDescent="0.25">
      <c r="A158" s="10">
        <v>44170.5</v>
      </c>
      <c r="B158" s="11" t="s">
        <v>8</v>
      </c>
      <c r="C158" s="11" t="s">
        <v>18</v>
      </c>
      <c r="D158" s="16" t="str">
        <f>HYPERLINK("https://freddywills.com/pick/7618/saturday-s-free-college-football-pick-tcu-vs-oklst-54-38-8-413-l-92-ncaaf-free-picks.html", "TCU +105 1% Free Play ")</f>
        <v xml:space="preserve">TCU +105 1% Free Play </v>
      </c>
      <c r="E158" s="11">
        <v>1</v>
      </c>
      <c r="F158" s="11">
        <v>1.05</v>
      </c>
      <c r="G158" s="11" t="s">
        <v>4</v>
      </c>
      <c r="H158" s="13">
        <v>1050</v>
      </c>
      <c r="I158" s="14">
        <f t="shared" si="3"/>
        <v>0.32700150000000022</v>
      </c>
      <c r="J158" s="13">
        <f t="shared" si="4"/>
        <v>330156.94999999978</v>
      </c>
    </row>
    <row r="159" spans="1:10" x14ac:dyDescent="0.25">
      <c r="A159" s="10">
        <v>44170.5</v>
      </c>
      <c r="B159" s="11" t="s">
        <v>8</v>
      </c>
      <c r="C159" s="11" t="s">
        <v>10</v>
      </c>
      <c r="D159" s="16" t="str">
        <f>HYPERLINK("https://freddywills.com/pick/7622/college-football-teaser-of-the-week-23-15-18-6-last-38-teaser-plays-guaranteed-or-back.html", "Nebraska +7.5 / Arkansas +8.5 3.3% Teaser")</f>
        <v>Nebraska +7.5 / Arkansas +8.5 3.3% Teaser</v>
      </c>
      <c r="E159" s="11">
        <v>3.3</v>
      </c>
      <c r="F159" s="11">
        <v>-1.1000000000000001</v>
      </c>
      <c r="G159" s="11" t="s">
        <v>4</v>
      </c>
      <c r="H159" s="13">
        <v>3000</v>
      </c>
      <c r="I159" s="14">
        <f t="shared" si="3"/>
        <v>0.31650150000000021</v>
      </c>
      <c r="J159" s="13">
        <f t="shared" si="4"/>
        <v>329106.94999999978</v>
      </c>
    </row>
    <row r="160" spans="1:10" x14ac:dyDescent="0.25">
      <c r="A160" s="10">
        <v>44169.854166666664</v>
      </c>
      <c r="B160" s="11" t="s">
        <v>8</v>
      </c>
      <c r="C160" s="11" t="s">
        <v>5</v>
      </c>
      <c r="D160" s="16" t="str">
        <f>HYPERLINK("https://freddywills.com/pick/7615/3-3-friday-night-lights-lafayette-vs-appst-guaranteed-or-back-86-65-49-925-l-151-ncaaf.html", "Lafayette +3 3.3% play ")</f>
        <v xml:space="preserve">Lafayette +3 3.3% play </v>
      </c>
      <c r="E160" s="11">
        <v>3.3</v>
      </c>
      <c r="F160" s="11">
        <v>-1.1000000000000001</v>
      </c>
      <c r="G160" s="11" t="s">
        <v>4</v>
      </c>
      <c r="H160" s="13">
        <v>3000</v>
      </c>
      <c r="I160" s="14">
        <f t="shared" si="3"/>
        <v>0.28650150000000019</v>
      </c>
      <c r="J160" s="13">
        <f t="shared" si="4"/>
        <v>326106.94999999978</v>
      </c>
    </row>
    <row r="161" spans="1:10" x14ac:dyDescent="0.25">
      <c r="A161" s="10">
        <v>44168.75</v>
      </c>
      <c r="B161" s="11" t="s">
        <v>8</v>
      </c>
      <c r="C161" s="11" t="s">
        <v>18</v>
      </c>
      <c r="D161" s="16" t="str">
        <f>HYPERLINK("https://freddywills.com/pick/7614/thursday-night-college-football-110-90-110-78-last-200-ncaaf-picks-in-december.html", "Louisiana Tech -110 2.2% play ")</f>
        <v xml:space="preserve">Louisiana Tech -110 2.2% play </v>
      </c>
      <c r="E161" s="11">
        <v>2.2000000000000002</v>
      </c>
      <c r="F161" s="11">
        <v>-1.1000000000000001</v>
      </c>
      <c r="G161" s="11" t="s">
        <v>4</v>
      </c>
      <c r="H161" s="13">
        <v>2000</v>
      </c>
      <c r="I161" s="14">
        <f t="shared" si="3"/>
        <v>0.25650150000000016</v>
      </c>
      <c r="J161" s="13">
        <f t="shared" si="4"/>
        <v>323106.94999999978</v>
      </c>
    </row>
    <row r="162" spans="1:10" x14ac:dyDescent="0.25">
      <c r="A162" s="10">
        <v>44164.684027777781</v>
      </c>
      <c r="B162" s="11" t="s">
        <v>2</v>
      </c>
      <c r="C162" s="11" t="s">
        <v>5</v>
      </c>
      <c r="D162" s="16" t="str">
        <f>HYPERLINK("https://freddywills.com/pick/7610/5-5-nfl-pod-guaranteed-or-back-chiefs-vs-bucs-63-33-149-050-l-96-max-rated-nfl-picks.html", "Tampa Bucs +3.5 5.5% NFL POD")</f>
        <v>Tampa Bucs +3.5 5.5% NFL POD</v>
      </c>
      <c r="E162" s="11">
        <v>5.5</v>
      </c>
      <c r="F162" s="11">
        <v>-1.1000000000000001</v>
      </c>
      <c r="G162" s="11" t="s">
        <v>4</v>
      </c>
      <c r="H162" s="13">
        <v>5000</v>
      </c>
      <c r="I162" s="14">
        <f t="shared" si="3"/>
        <v>0.23650150000000014</v>
      </c>
      <c r="J162" s="13">
        <f t="shared" si="4"/>
        <v>321106.94999999978</v>
      </c>
    </row>
    <row r="163" spans="1:10" x14ac:dyDescent="0.25">
      <c r="A163" s="10">
        <v>44164.541666666664</v>
      </c>
      <c r="B163" s="11" t="s">
        <v>2</v>
      </c>
      <c r="C163" s="11" t="s">
        <v>7</v>
      </c>
      <c r="D163" s="16" t="str">
        <f>HYPERLINK("https://freddywills.com/pick/7608/nfl-total-of-the-week-guaranteed-or-back-17-8-18-935-l-25-over-all-sports.html", "Chargers / Bills Over 52 3.3% play ")</f>
        <v xml:space="preserve">Chargers / Bills Over 52 3.3% play </v>
      </c>
      <c r="E163" s="11">
        <v>3.3</v>
      </c>
      <c r="F163" s="11">
        <v>-1.1000000000000001</v>
      </c>
      <c r="G163" s="11" t="s">
        <v>6</v>
      </c>
      <c r="H163" s="13">
        <v>-3300</v>
      </c>
      <c r="I163" s="14">
        <f t="shared" si="3"/>
        <v>0.18650150000000013</v>
      </c>
      <c r="J163" s="13">
        <f t="shared" si="4"/>
        <v>316106.94999999978</v>
      </c>
    </row>
    <row r="164" spans="1:10" x14ac:dyDescent="0.25">
      <c r="A164" s="10">
        <v>44164.541666666664</v>
      </c>
      <c r="B164" s="11" t="s">
        <v>2</v>
      </c>
      <c r="C164" s="11" t="s">
        <v>5</v>
      </c>
      <c r="D164" s="16" t="str">
        <f>HYPERLINK("https://freddywills.com/pick/7609/sunday-s-free-pick-59-31-42-427-l-90-nfl-free-picks.html", "Bengals +6 1.1% Free Pick ")</f>
        <v xml:space="preserve">Bengals +6 1.1% Free Pick </v>
      </c>
      <c r="E164" s="11">
        <v>1.1000000000000001</v>
      </c>
      <c r="F164" s="11">
        <v>-1.1000000000000001</v>
      </c>
      <c r="G164" s="11" t="s">
        <v>4</v>
      </c>
      <c r="H164" s="13">
        <v>1000</v>
      </c>
      <c r="I164" s="14">
        <f t="shared" si="3"/>
        <v>0.21950150000000013</v>
      </c>
      <c r="J164" s="13">
        <f t="shared" si="4"/>
        <v>319406.94999999978</v>
      </c>
    </row>
    <row r="165" spans="1:10" x14ac:dyDescent="0.25">
      <c r="A165" s="10">
        <v>44164.541666666664</v>
      </c>
      <c r="B165" s="11" t="s">
        <v>2</v>
      </c>
      <c r="C165" s="11" t="s">
        <v>5</v>
      </c>
      <c r="D165" s="16" t="str">
        <f>HYPERLINK("https://freddywills.com/pick/7611/3-nfl-pick-74-51-61-146-l-125-nfl-3-bankroll-plays-guaranteed-or-back.html", "Falcons +3.5 -115 - buy 1/2 point currently +3 +100 ")</f>
        <v xml:space="preserve">Falcons +3.5 -115 - buy 1/2 point currently +3 +100 </v>
      </c>
      <c r="E165" s="11">
        <v>3</v>
      </c>
      <c r="F165" s="11">
        <v>-1.1499999999999999</v>
      </c>
      <c r="G165" s="11" t="s">
        <v>4</v>
      </c>
      <c r="H165" s="13">
        <v>2608.6999999999998</v>
      </c>
      <c r="I165" s="14">
        <f t="shared" si="3"/>
        <v>0.20950150000000012</v>
      </c>
      <c r="J165" s="13">
        <f t="shared" si="4"/>
        <v>318406.94999999978</v>
      </c>
    </row>
    <row r="166" spans="1:10" x14ac:dyDescent="0.25">
      <c r="A166" s="10">
        <v>44164.541666666664</v>
      </c>
      <c r="B166" s="11" t="s">
        <v>2</v>
      </c>
      <c r="C166" s="11" t="s">
        <v>10</v>
      </c>
      <c r="D166" s="16" t="str">
        <f>HYPERLINK("https://freddywills.com/pick/7612/nfl-teaser-of-the-week-44-33-last-77-nfl-teasers-19-23-roi-guaranteed-or-back.html", "Patriots +7.5 / Browns -1 3.3% NFL Teaser")</f>
        <v>Patriots +7.5 / Browns -1 3.3% NFL Teaser</v>
      </c>
      <c r="E166" s="11">
        <v>3.3</v>
      </c>
      <c r="F166" s="11">
        <v>-1.1000000000000001</v>
      </c>
      <c r="G166" s="11" t="s">
        <v>4</v>
      </c>
      <c r="H166" s="13">
        <v>3000</v>
      </c>
      <c r="I166" s="14">
        <f t="shared" ref="I166:I229" si="5">H166/100000+I167</f>
        <v>0.18341450000000012</v>
      </c>
      <c r="J166" s="13">
        <f t="shared" si="4"/>
        <v>315798.24999999977</v>
      </c>
    </row>
    <row r="167" spans="1:10" x14ac:dyDescent="0.25">
      <c r="A167" s="10">
        <v>44163.958333333336</v>
      </c>
      <c r="B167" s="11" t="s">
        <v>8</v>
      </c>
      <c r="C167" s="11" t="s">
        <v>5</v>
      </c>
      <c r="D167" s="16" t="str">
        <f>HYPERLINK("https://freddywills.com/pick/7604/late-night-fix-nevada-vs-hawaii-guaranteed-or-back-2-2-play.html", "Hawaii +7.5 2.2% play ")</f>
        <v xml:space="preserve">Hawaii +7.5 2.2% play </v>
      </c>
      <c r="E167" s="11">
        <v>2.2000000000000002</v>
      </c>
      <c r="F167" s="11">
        <v>-1.1000000000000001</v>
      </c>
      <c r="G167" s="11" t="s">
        <v>4</v>
      </c>
      <c r="H167" s="13">
        <v>2000</v>
      </c>
      <c r="I167" s="14">
        <f t="shared" si="5"/>
        <v>0.15341450000000012</v>
      </c>
      <c r="J167" s="13">
        <f t="shared" ref="J167:J230" si="6">H167+J168</f>
        <v>312798.24999999977</v>
      </c>
    </row>
    <row r="168" spans="1:10" x14ac:dyDescent="0.25">
      <c r="A168" s="10">
        <v>44163.791666666664</v>
      </c>
      <c r="B168" s="11" t="s">
        <v>8</v>
      </c>
      <c r="C168" s="11" t="s">
        <v>7</v>
      </c>
      <c r="D168" s="16" t="str">
        <f>HYPERLINK("https://freddywills.com/pick/7602/lsu-vs-texasam-total-play-guaranteed-or-back.html", "LSU/TXAM Under 62 2.2% play ")</f>
        <v xml:space="preserve">LSU/TXAM Under 62 2.2% play </v>
      </c>
      <c r="E168" s="11">
        <v>2.2000000000000002</v>
      </c>
      <c r="F168" s="11">
        <v>-1.1000000000000001</v>
      </c>
      <c r="G168" s="11" t="s">
        <v>4</v>
      </c>
      <c r="H168" s="13">
        <v>2000</v>
      </c>
      <c r="I168" s="14">
        <f t="shared" si="5"/>
        <v>0.13341450000000013</v>
      </c>
      <c r="J168" s="13">
        <f t="shared" si="6"/>
        <v>310798.24999999977</v>
      </c>
    </row>
    <row r="169" spans="1:10" x14ac:dyDescent="0.25">
      <c r="A169" s="10">
        <v>44163.791666666664</v>
      </c>
      <c r="B169" s="11" t="s">
        <v>8</v>
      </c>
      <c r="C169" s="11" t="s">
        <v>5</v>
      </c>
      <c r="D169" s="16" t="str">
        <f>HYPERLINK("https://freddywills.com/pick/7605/3-3-play-kansas-state-vs-baylor-83-63-47-668-l-146-ncaaf-3-bankroll.html", "Kansas State +6 3.3% play ")</f>
        <v xml:space="preserve">Kansas State +6 3.3% play </v>
      </c>
      <c r="E169" s="11">
        <v>3.3</v>
      </c>
      <c r="F169" s="11">
        <v>-1.1000000000000001</v>
      </c>
      <c r="G169" s="11" t="s">
        <v>4</v>
      </c>
      <c r="H169" s="13">
        <v>3000</v>
      </c>
      <c r="I169" s="14">
        <f t="shared" si="5"/>
        <v>0.11341450000000014</v>
      </c>
      <c r="J169" s="13">
        <f t="shared" si="6"/>
        <v>308798.24999999977</v>
      </c>
    </row>
    <row r="170" spans="1:10" x14ac:dyDescent="0.25">
      <c r="A170" s="10">
        <v>44163.722222222219</v>
      </c>
      <c r="B170" s="11" t="s">
        <v>8</v>
      </c>
      <c r="C170" s="11" t="s">
        <v>5</v>
      </c>
      <c r="D170" s="16" t="str">
        <f>HYPERLINK("https://freddywills.com/pick/7607/2nd-half-play-northwestern-vs-michigan-st.html", "Northwestern -8 2nd half")</f>
        <v>Northwestern -8 2nd half</v>
      </c>
      <c r="E170" s="11">
        <v>2.2000000000000002</v>
      </c>
      <c r="F170" s="11">
        <v>-1.1000000000000001</v>
      </c>
      <c r="G170" s="11" t="s">
        <v>6</v>
      </c>
      <c r="H170" s="13">
        <v>-2200</v>
      </c>
      <c r="I170" s="14">
        <f t="shared" si="5"/>
        <v>8.3414500000000141E-2</v>
      </c>
      <c r="J170" s="13">
        <f t="shared" si="6"/>
        <v>305798.24999999977</v>
      </c>
    </row>
    <row r="171" spans="1:10" x14ac:dyDescent="0.25">
      <c r="A171" s="10">
        <v>44163.645833333336</v>
      </c>
      <c r="B171" s="11" t="s">
        <v>8</v>
      </c>
      <c r="C171" s="11" t="s">
        <v>5</v>
      </c>
      <c r="D171" s="16" t="str">
        <f>HYPERLINK("https://freddywills.com/pick/7601/iron-bowl-alabama-vs-auburn-2-2-play-guaranteed-or-back.html", "Auburn +24.5 2.2% play ")</f>
        <v xml:space="preserve">Auburn +24.5 2.2% play </v>
      </c>
      <c r="E171" s="11">
        <v>3.3</v>
      </c>
      <c r="F171" s="11">
        <v>-1.1000000000000001</v>
      </c>
      <c r="G171" s="11" t="s">
        <v>6</v>
      </c>
      <c r="H171" s="13">
        <v>-3300</v>
      </c>
      <c r="I171" s="14">
        <f t="shared" si="5"/>
        <v>0.10541450000000013</v>
      </c>
      <c r="J171" s="13">
        <f t="shared" si="6"/>
        <v>307998.24999999977</v>
      </c>
    </row>
    <row r="172" spans="1:10" x14ac:dyDescent="0.25">
      <c r="A172" s="10">
        <v>44163.645833333336</v>
      </c>
      <c r="B172" s="11" t="s">
        <v>8</v>
      </c>
      <c r="C172" s="11" t="s">
        <v>5</v>
      </c>
      <c r="D172" s="16" t="str">
        <f>HYPERLINK("https://freddywills.com/pick/7606/1-1-free-pick-clemson-vs-pitt.html", "Clemson -22.5 1.1% Free PLay ")</f>
        <v xml:space="preserve">Clemson -22.5 1.1% Free PLay </v>
      </c>
      <c r="E172" s="11">
        <v>1.1000000000000001</v>
      </c>
      <c r="F172" s="11">
        <v>-1.1000000000000001</v>
      </c>
      <c r="G172" s="11" t="s">
        <v>4</v>
      </c>
      <c r="H172" s="13">
        <v>1000</v>
      </c>
      <c r="I172" s="14">
        <f t="shared" si="5"/>
        <v>0.13841450000000013</v>
      </c>
      <c r="J172" s="13">
        <f t="shared" si="6"/>
        <v>311298.24999999977</v>
      </c>
    </row>
    <row r="173" spans="1:10" x14ac:dyDescent="0.25">
      <c r="A173" s="10">
        <v>44163.5</v>
      </c>
      <c r="B173" s="11" t="s">
        <v>8</v>
      </c>
      <c r="C173" s="11" t="s">
        <v>5</v>
      </c>
      <c r="D173" s="16" t="str">
        <f>HYPERLINK("https://freddywills.com/pick/7599/saturday-s-early-bird-special-georgia-southern-vs-georgia-state-guaranteed-or-back.html", "Georgia Southern -1 2.2% play ")</f>
        <v xml:space="preserve">Georgia Southern -1 2.2% play </v>
      </c>
      <c r="E173" s="11">
        <v>2.2000000000000002</v>
      </c>
      <c r="F173" s="11">
        <v>-1.1000000000000001</v>
      </c>
      <c r="G173" s="11" t="s">
        <v>6</v>
      </c>
      <c r="H173" s="13">
        <v>-2200</v>
      </c>
      <c r="I173" s="14">
        <f t="shared" si="5"/>
        <v>0.12841450000000013</v>
      </c>
      <c r="J173" s="13">
        <f t="shared" si="6"/>
        <v>310298.24999999977</v>
      </c>
    </row>
    <row r="174" spans="1:10" x14ac:dyDescent="0.25">
      <c r="A174" s="10">
        <v>44163.5</v>
      </c>
      <c r="B174" s="11" t="s">
        <v>8</v>
      </c>
      <c r="C174" s="11" t="s">
        <v>5</v>
      </c>
      <c r="D174" s="16" t="str">
        <f>HYPERLINK("https://freddywills.com/pick/7600/collegefootball-total-of-the-week-17-8-last-25-over-play-guaranteed-or-back.html", "Penn State/ Michigan Over 57.5 2.2% play ")</f>
        <v xml:space="preserve">Penn State/ Michigan Over 57.5 2.2% play </v>
      </c>
      <c r="E174" s="11">
        <v>2.2000000000000002</v>
      </c>
      <c r="F174" s="11">
        <v>-1.1000000000000001</v>
      </c>
      <c r="G174" s="11" t="s">
        <v>6</v>
      </c>
      <c r="H174" s="13">
        <v>-2200</v>
      </c>
      <c r="I174" s="14">
        <f t="shared" si="5"/>
        <v>0.15041450000000012</v>
      </c>
      <c r="J174" s="13">
        <f t="shared" si="6"/>
        <v>312498.24999999977</v>
      </c>
    </row>
    <row r="175" spans="1:10" x14ac:dyDescent="0.25">
      <c r="A175" s="10">
        <v>44163.352083333331</v>
      </c>
      <c r="B175" s="11" t="s">
        <v>8</v>
      </c>
      <c r="C175" s="11" t="s">
        <v>5</v>
      </c>
      <c r="D175" s="16" t="str">
        <f>HYPERLINK("https://freddywills.com/pick/7603/mountain-west-game-of-the-week-boisest-vs-sanjosest-3-3-play-83-63-47-668-l-146-ncaaf-3-ban.html", "San Jose State +11.5 3.3% play ")</f>
        <v xml:space="preserve">San Jose State +11.5 3.3% play </v>
      </c>
      <c r="E175" s="11">
        <v>3.3</v>
      </c>
      <c r="F175" s="11">
        <v>-1.1000000000000001</v>
      </c>
      <c r="G175" s="11" t="s">
        <v>11</v>
      </c>
      <c r="H175" s="13">
        <v>0</v>
      </c>
      <c r="I175" s="14">
        <f t="shared" si="5"/>
        <v>0.17241450000000011</v>
      </c>
      <c r="J175" s="13">
        <f t="shared" si="6"/>
        <v>314698.24999999977</v>
      </c>
    </row>
    <row r="176" spans="1:10" x14ac:dyDescent="0.25">
      <c r="A176" s="10">
        <v>44162.666666666664</v>
      </c>
      <c r="B176" s="11" t="s">
        <v>8</v>
      </c>
      <c r="C176" s="11" t="s">
        <v>18</v>
      </c>
      <c r="D176" s="16" t="str">
        <f>HYPERLINK("https://freddywills.com/pick/7597/battle-for-the-axe-the-big-game-stanford-vs-cal-guaranteed-or-back.html", "Stanford -105 3% play ")</f>
        <v xml:space="preserve">Stanford -105 3% play </v>
      </c>
      <c r="E176" s="11">
        <v>3</v>
      </c>
      <c r="F176" s="11">
        <v>-1.05</v>
      </c>
      <c r="G176" s="11" t="s">
        <v>4</v>
      </c>
      <c r="H176" s="13">
        <v>2857.14</v>
      </c>
      <c r="I176" s="14">
        <f t="shared" si="5"/>
        <v>0.17241450000000011</v>
      </c>
      <c r="J176" s="13">
        <f t="shared" si="6"/>
        <v>314698.24999999977</v>
      </c>
    </row>
    <row r="177" spans="1:10" x14ac:dyDescent="0.25">
      <c r="A177" s="10">
        <v>44162.645833333336</v>
      </c>
      <c r="B177" s="11" t="s">
        <v>8</v>
      </c>
      <c r="C177" s="11" t="s">
        <v>5</v>
      </c>
      <c r="D177" s="16" t="str">
        <f>HYPERLINK("https://freddywills.com/pick/7594/notredame-vs-unc-3-3-acc-game-of-the-week-guaranteed-or-back-83-63-47-668-l-146-ncaaf-3.html", "Notre Dame -5.5 3.3% play ")</f>
        <v xml:space="preserve">Notre Dame -5.5 3.3% play </v>
      </c>
      <c r="E177" s="11">
        <v>3.3</v>
      </c>
      <c r="F177" s="11">
        <v>-1.1000000000000001</v>
      </c>
      <c r="G177" s="11" t="s">
        <v>4</v>
      </c>
      <c r="H177" s="13">
        <v>3000</v>
      </c>
      <c r="I177" s="14">
        <f t="shared" si="5"/>
        <v>0.14384310000000011</v>
      </c>
      <c r="J177" s="13">
        <f t="shared" si="6"/>
        <v>311841.10999999975</v>
      </c>
    </row>
    <row r="178" spans="1:10" x14ac:dyDescent="0.25">
      <c r="A178" s="10">
        <v>44162.541666666664</v>
      </c>
      <c r="B178" s="11" t="s">
        <v>8</v>
      </c>
      <c r="C178" s="11" t="s">
        <v>5</v>
      </c>
      <c r="D178" s="16" t="str">
        <f>HYPERLINK("https://freddywills.com/pick/7596/nebraska-vs-iowa-guaranteed-or-back-2-2-play.html", "Nebraska +14 2.2% play ")</f>
        <v xml:space="preserve">Nebraska +14 2.2% play </v>
      </c>
      <c r="E178" s="11">
        <v>2.2000000000000002</v>
      </c>
      <c r="F178" s="11">
        <v>-1.1000000000000001</v>
      </c>
      <c r="G178" s="11" t="s">
        <v>4</v>
      </c>
      <c r="H178" s="13">
        <v>2000</v>
      </c>
      <c r="I178" s="14">
        <f t="shared" si="5"/>
        <v>0.11384310000000013</v>
      </c>
      <c r="J178" s="13">
        <f t="shared" si="6"/>
        <v>308841.10999999975</v>
      </c>
    </row>
    <row r="179" spans="1:10" x14ac:dyDescent="0.25">
      <c r="A179" s="10">
        <v>44162.5</v>
      </c>
      <c r="B179" s="11" t="s">
        <v>8</v>
      </c>
      <c r="C179" s="11" t="s">
        <v>5</v>
      </c>
      <c r="D179" s="16" t="str">
        <f>HYPERLINK("https://freddywills.com/pick/7595/3-3-big-12-game-of-the-week-iowa-state-vs-texas-guaranteed-or-back.html", "Texas +1 3.3% play ")</f>
        <v xml:space="preserve">Texas +1 3.3% play </v>
      </c>
      <c r="E179" s="11">
        <v>3.3</v>
      </c>
      <c r="F179" s="11">
        <v>-1.1000000000000001</v>
      </c>
      <c r="G179" s="11" t="s">
        <v>6</v>
      </c>
      <c r="H179" s="13">
        <v>-3300</v>
      </c>
      <c r="I179" s="14">
        <f t="shared" si="5"/>
        <v>9.3843100000000124E-2</v>
      </c>
      <c r="J179" s="13">
        <f t="shared" si="6"/>
        <v>306841.10999999975</v>
      </c>
    </row>
    <row r="180" spans="1:10" x14ac:dyDescent="0.25">
      <c r="A180" s="10">
        <v>44161.520833333336</v>
      </c>
      <c r="B180" s="11" t="s">
        <v>2</v>
      </c>
      <c r="C180" s="11" t="s">
        <v>5</v>
      </c>
      <c r="D180" s="16" t="str">
        <f>HYPERLINK("https://freddywills.com/pick/7598/thanksgiving-day-early-bird-special-lions-vs-texans-guaranteed-or-back.html", "Lions +3 2.2% play ")</f>
        <v xml:space="preserve">Lions +3 2.2% play </v>
      </c>
      <c r="E180" s="11">
        <v>2.2000000000000002</v>
      </c>
      <c r="F180" s="11">
        <v>-1.1000000000000001</v>
      </c>
      <c r="G180" s="11" t="s">
        <v>6</v>
      </c>
      <c r="H180" s="13">
        <v>-2200</v>
      </c>
      <c r="I180" s="14">
        <f t="shared" si="5"/>
        <v>0.12684310000000013</v>
      </c>
      <c r="J180" s="13">
        <f t="shared" si="6"/>
        <v>310141.10999999975</v>
      </c>
    </row>
    <row r="181" spans="1:10" x14ac:dyDescent="0.25">
      <c r="A181" s="10">
        <v>44157.847222222219</v>
      </c>
      <c r="B181" s="11" t="s">
        <v>2</v>
      </c>
      <c r="C181" s="11" t="s">
        <v>5</v>
      </c>
      <c r="D181" s="16" t="str">
        <f>HYPERLINK("https://freddywills.com/pick/7592/chiefs-vs-raiders-guaranteed-or-back-3-3-play-72-51-55-146-l-123-nfl-3-bankroll.html", "Raiders +7.5 3.3% play ")</f>
        <v xml:space="preserve">Raiders +7.5 3.3% play </v>
      </c>
      <c r="E181" s="11">
        <v>3.3</v>
      </c>
      <c r="F181" s="11">
        <v>-1.1000000000000001</v>
      </c>
      <c r="G181" s="11" t="s">
        <v>4</v>
      </c>
      <c r="H181" s="13">
        <v>3000</v>
      </c>
      <c r="I181" s="14">
        <f t="shared" si="5"/>
        <v>0.14884310000000012</v>
      </c>
      <c r="J181" s="13">
        <f t="shared" si="6"/>
        <v>312341.10999999975</v>
      </c>
    </row>
    <row r="182" spans="1:10" x14ac:dyDescent="0.25">
      <c r="A182" s="10">
        <v>44157.684027777781</v>
      </c>
      <c r="B182" s="11" t="s">
        <v>2</v>
      </c>
      <c r="C182" s="11" t="s">
        <v>7</v>
      </c>
      <c r="D182" s="16" t="str">
        <f>HYPERLINK("https://freddywills.com/pick/7588/nfl-total-of-the-week-15-5-last-20-over-the-total-plays-guaranteed-or-back.html", "Packers / Colts Over 51 3.3% play ")</f>
        <v xml:space="preserve">Packers / Colts Over 51 3.3% play </v>
      </c>
      <c r="E182" s="11">
        <v>3.3</v>
      </c>
      <c r="F182" s="11">
        <v>-1.1000000000000001</v>
      </c>
      <c r="G182" s="11" t="s">
        <v>4</v>
      </c>
      <c r="H182" s="13">
        <v>3000</v>
      </c>
      <c r="I182" s="14">
        <f t="shared" si="5"/>
        <v>0.1188431000000001</v>
      </c>
      <c r="J182" s="13">
        <f t="shared" si="6"/>
        <v>309341.10999999975</v>
      </c>
    </row>
    <row r="183" spans="1:10" x14ac:dyDescent="0.25">
      <c r="A183" s="10">
        <v>44157.541666666664</v>
      </c>
      <c r="B183" s="11" t="s">
        <v>2</v>
      </c>
      <c r="C183" s="11" t="s">
        <v>10</v>
      </c>
      <c r="D183" s="16" t="str">
        <f>HYPERLINK("https://freddywills.com/pick/7589/4-4-nfl-teaser-of-the-week-guaranteed-or-back-17-9-last-26-nfl-teasers-22-7.html", "Eagles +8.5 / Bengals +7.5 4.4% NFL Teaser")</f>
        <v>Eagles +8.5 / Bengals +7.5 4.4% NFL Teaser</v>
      </c>
      <c r="E183" s="11">
        <v>4.4000000000000004</v>
      </c>
      <c r="F183" s="11">
        <v>-1.1000000000000001</v>
      </c>
      <c r="G183" s="11" t="s">
        <v>6</v>
      </c>
      <c r="H183" s="13">
        <v>-4400</v>
      </c>
      <c r="I183" s="14">
        <f t="shared" si="5"/>
        <v>8.8843100000000105E-2</v>
      </c>
      <c r="J183" s="13">
        <f t="shared" si="6"/>
        <v>306341.10999999975</v>
      </c>
    </row>
    <row r="184" spans="1:10" x14ac:dyDescent="0.25">
      <c r="A184" s="10">
        <v>44157.541666666664</v>
      </c>
      <c r="B184" s="11" t="s">
        <v>2</v>
      </c>
      <c r="C184" s="11" t="s">
        <v>5</v>
      </c>
      <c r="D184" s="16" t="str">
        <f>HYPERLINK("https://freddywills.com/pick/7590/58-31-41-427-l-89-nfl-free-picks-titans-vs-ravens-play.html", "Titans +6 1.1% Free Play ")</f>
        <v xml:space="preserve">Titans +6 1.1% Free Play </v>
      </c>
      <c r="E184" s="11">
        <v>1.1000000000000001</v>
      </c>
      <c r="F184" s="11">
        <v>-1.1000000000000001</v>
      </c>
      <c r="G184" s="11" t="s">
        <v>4</v>
      </c>
      <c r="H184" s="13">
        <v>1000</v>
      </c>
      <c r="I184" s="14">
        <f t="shared" si="5"/>
        <v>0.1328431000000001</v>
      </c>
      <c r="J184" s="13">
        <f t="shared" si="6"/>
        <v>310741.10999999975</v>
      </c>
    </row>
    <row r="185" spans="1:10" x14ac:dyDescent="0.25">
      <c r="A185" s="10">
        <v>44157.541666666664</v>
      </c>
      <c r="B185" s="11" t="s">
        <v>2</v>
      </c>
      <c r="C185" s="11" t="s">
        <v>7</v>
      </c>
      <c r="D185" s="16" t="str">
        <f>HYPERLINK("https://freddywills.com/pick/7591/nfl-total-play-25-18-last-43-nfl-total-plays-guaranteed-or-back.html", "Bengals / Redskins Over 47 2.2% play")</f>
        <v>Bengals / Redskins Over 47 2.2% play</v>
      </c>
      <c r="E185" s="11">
        <v>2.2000000000000002</v>
      </c>
      <c r="F185" s="11">
        <v>-1.1000000000000001</v>
      </c>
      <c r="G185" s="11" t="s">
        <v>6</v>
      </c>
      <c r="H185" s="13">
        <v>-2200</v>
      </c>
      <c r="I185" s="14">
        <f t="shared" si="5"/>
        <v>0.12284310000000009</v>
      </c>
      <c r="J185" s="13">
        <f t="shared" si="6"/>
        <v>309741.10999999975</v>
      </c>
    </row>
    <row r="186" spans="1:10" x14ac:dyDescent="0.25">
      <c r="A186" s="10">
        <v>44157.541666666664</v>
      </c>
      <c r="B186" s="11" t="s">
        <v>2</v>
      </c>
      <c r="C186" s="11" t="s">
        <v>5</v>
      </c>
      <c r="D186" s="16" t="str">
        <f>HYPERLINK("https://freddywills.com/pick/7593/31-21-20-317-l-52-nfl-2-bankroll-steelers-vs-jaguars-guaranteed-or-back.html", "Jaguars +10.5 2.2% play ")</f>
        <v xml:space="preserve">Jaguars +10.5 2.2% play </v>
      </c>
      <c r="E186" s="11">
        <v>2.2000000000000002</v>
      </c>
      <c r="F186" s="11">
        <v>-1.1000000000000001</v>
      </c>
      <c r="G186" s="11" t="s">
        <v>6</v>
      </c>
      <c r="H186" s="13">
        <v>-2200</v>
      </c>
      <c r="I186" s="14">
        <f t="shared" si="5"/>
        <v>0.14484310000000009</v>
      </c>
      <c r="J186" s="13">
        <f t="shared" si="6"/>
        <v>311941.10999999975</v>
      </c>
    </row>
    <row r="187" spans="1:10" x14ac:dyDescent="0.25">
      <c r="A187" s="10">
        <v>44156.8125</v>
      </c>
      <c r="B187" s="11" t="s">
        <v>8</v>
      </c>
      <c r="C187" s="11" t="s">
        <v>5</v>
      </c>
      <c r="D187" s="16" t="str">
        <f>HYPERLINK("https://freddywills.com/pick/7583/1-1-free-pick-auburn-vs-tennessee-79-57-23-624-l-136-free-sports-picks.html", "Auburn -11 1.1% Free Play ")</f>
        <v xml:space="preserve">Auburn -11 1.1% Free Play </v>
      </c>
      <c r="E187" s="11">
        <v>1.1000000000000001</v>
      </c>
      <c r="F187" s="11">
        <v>-1.1000000000000001</v>
      </c>
      <c r="G187" s="11" t="s">
        <v>4</v>
      </c>
      <c r="H187" s="13">
        <v>1000</v>
      </c>
      <c r="I187" s="14">
        <f t="shared" si="5"/>
        <v>0.16684310000000008</v>
      </c>
      <c r="J187" s="13">
        <f t="shared" si="6"/>
        <v>314141.10999999975</v>
      </c>
    </row>
    <row r="188" spans="1:10" x14ac:dyDescent="0.25">
      <c r="A188" s="10">
        <v>44156.8125</v>
      </c>
      <c r="B188" s="11" t="s">
        <v>8</v>
      </c>
      <c r="C188" s="11" t="s">
        <v>5</v>
      </c>
      <c r="D188" s="16" t="str">
        <f>HYPERLINK("https://freddywills.com/pick/7584/big-12-game-of-the-week-bedlam-oklahoma-vs-oklahomast-3-play-81-62-44-968-l-143-ncaaf.html", "Oklahoma -7 3.3% play ")</f>
        <v xml:space="preserve">Oklahoma -7 3.3% play </v>
      </c>
      <c r="E188" s="11">
        <v>3.3</v>
      </c>
      <c r="F188" s="11">
        <v>-1.1000000000000001</v>
      </c>
      <c r="G188" s="11" t="s">
        <v>4</v>
      </c>
      <c r="H188" s="13">
        <v>3000</v>
      </c>
      <c r="I188" s="14">
        <f t="shared" si="5"/>
        <v>0.15684310000000007</v>
      </c>
      <c r="J188" s="13">
        <f t="shared" si="6"/>
        <v>313141.10999999975</v>
      </c>
    </row>
    <row r="189" spans="1:10" x14ac:dyDescent="0.25">
      <c r="A189" s="10">
        <v>44156.8125</v>
      </c>
      <c r="B189" s="11" t="s">
        <v>8</v>
      </c>
      <c r="C189" s="11" t="s">
        <v>7</v>
      </c>
      <c r="D189" s="16" t="str">
        <f>HYPERLINK("https://freddywills.com/pick/7587/college-football-over-the-total-of-the-week-15-5-last-20-over-total-plays-guaranteed-or-back.html", "Missouri / South Carolina Over 57 2.2%")</f>
        <v>Missouri / South Carolina Over 57 2.2%</v>
      </c>
      <c r="E189" s="11">
        <v>2.2000000000000002</v>
      </c>
      <c r="F189" s="11">
        <v>-1.1000000000000001</v>
      </c>
      <c r="G189" s="11" t="s">
        <v>6</v>
      </c>
      <c r="H189" s="13">
        <v>-2200</v>
      </c>
      <c r="I189" s="14">
        <f t="shared" si="5"/>
        <v>0.12684310000000007</v>
      </c>
      <c r="J189" s="13">
        <f t="shared" si="6"/>
        <v>310141.10999999975</v>
      </c>
    </row>
    <row r="190" spans="1:10" x14ac:dyDescent="0.25">
      <c r="A190" s="10">
        <v>44156.645833333336</v>
      </c>
      <c r="B190" s="11" t="s">
        <v>8</v>
      </c>
      <c r="C190" s="11" t="s">
        <v>5</v>
      </c>
      <c r="D190" s="16" t="str">
        <f>HYPERLINK("https://freddywills.com/pick/7585/big-ten-west-game-of-the-week-northwestern-vs-wisconsin-guaranteed-or-back.html", "Northwestern +7.5 3.3% play ")</f>
        <v xml:space="preserve">Northwestern +7.5 3.3% play </v>
      </c>
      <c r="E190" s="11">
        <v>3.3</v>
      </c>
      <c r="F190" s="11">
        <v>-1.1000000000000001</v>
      </c>
      <c r="G190" s="11" t="s">
        <v>4</v>
      </c>
      <c r="H190" s="13">
        <v>3000</v>
      </c>
      <c r="I190" s="14">
        <f t="shared" si="5"/>
        <v>0.14884310000000006</v>
      </c>
      <c r="J190" s="13">
        <f t="shared" si="6"/>
        <v>312341.10999999975</v>
      </c>
    </row>
    <row r="191" spans="1:10" x14ac:dyDescent="0.25">
      <c r="A191" s="10">
        <v>44156.5</v>
      </c>
      <c r="B191" s="11" t="s">
        <v>8</v>
      </c>
      <c r="C191" s="11" t="s">
        <v>10</v>
      </c>
      <c r="D191" s="16" t="str">
        <f>HYPERLINK("https://freddywills.com/pick/7582/college-football-teaser-of-the-week-guaranteed-or-back-49-33-last-82-college-teasers-50-51.html", "Arkansas +8.5 / Penn State +8.5 3.3% play")</f>
        <v>Arkansas +8.5 / Penn State +8.5 3.3% play</v>
      </c>
      <c r="E191" s="11">
        <v>3.3</v>
      </c>
      <c r="F191" s="11">
        <v>-1.1000000000000001</v>
      </c>
      <c r="G191" s="11" t="s">
        <v>6</v>
      </c>
      <c r="H191" s="13">
        <v>-3300</v>
      </c>
      <c r="I191" s="14">
        <f t="shared" si="5"/>
        <v>0.11884310000000006</v>
      </c>
      <c r="J191" s="13">
        <f t="shared" si="6"/>
        <v>309341.10999999975</v>
      </c>
    </row>
    <row r="192" spans="1:10" x14ac:dyDescent="0.25">
      <c r="A192" s="10">
        <v>44156.5</v>
      </c>
      <c r="B192" s="11" t="s">
        <v>8</v>
      </c>
      <c r="C192" s="11" t="s">
        <v>5</v>
      </c>
      <c r="D192" s="16" t="str">
        <f>HYPERLINK("https://freddywills.com/pick/7586/big-ten-east-game-of-the-week-ohiost-vs-indiana-guaranteed-or-back.html", "Ohio State -20.5 2.2% play ")</f>
        <v xml:space="preserve">Ohio State -20.5 2.2% play </v>
      </c>
      <c r="E192" s="11">
        <v>2.2000000000000002</v>
      </c>
      <c r="F192" s="11">
        <v>-1.1000000000000001</v>
      </c>
      <c r="G192" s="11" t="s">
        <v>6</v>
      </c>
      <c r="H192" s="13">
        <v>-2200</v>
      </c>
      <c r="I192" s="14">
        <f t="shared" si="5"/>
        <v>0.15184310000000006</v>
      </c>
      <c r="J192" s="13">
        <f t="shared" si="6"/>
        <v>312641.10999999975</v>
      </c>
    </row>
    <row r="193" spans="1:10" x14ac:dyDescent="0.25">
      <c r="A193" s="10">
        <v>44153.791666666664</v>
      </c>
      <c r="B193" s="11" t="s">
        <v>8</v>
      </c>
      <c r="C193" s="11" t="s">
        <v>5</v>
      </c>
      <c r="D193" s="16" t="str">
        <f>HYPERLINK("https://freddywills.com/pick/7581/maction-wednesday-toledo-vs-emu-guaranteed-or-back-36-27-run-last-63-sports-picks-18-5.html", "Eastern Michigan +7 -115 3% play")</f>
        <v>Eastern Michigan +7 -115 3% play</v>
      </c>
      <c r="E193" s="11">
        <v>3</v>
      </c>
      <c r="F193" s="11">
        <v>-1.1499999999999999</v>
      </c>
      <c r="G193" s="11" t="s">
        <v>6</v>
      </c>
      <c r="H193" s="13">
        <v>-3000</v>
      </c>
      <c r="I193" s="14">
        <f t="shared" si="5"/>
        <v>0.17384310000000006</v>
      </c>
      <c r="J193" s="13">
        <f t="shared" si="6"/>
        <v>314841.10999999975</v>
      </c>
    </row>
    <row r="194" spans="1:10" x14ac:dyDescent="0.25">
      <c r="A194" s="10">
        <v>44151.850694444445</v>
      </c>
      <c r="B194" s="11" t="s">
        <v>2</v>
      </c>
      <c r="C194" s="11" t="s">
        <v>5</v>
      </c>
      <c r="D194" s="16" t="str">
        <f>HYPERLINK("https://freddywills.com/pick/7580/3-3-nfl-pick-20-8-run-on-last-28-nfl-3-plays-guaranteed-or-back.html", "BEARS +3.5 3.3% PLAY ")</f>
        <v xml:space="preserve">BEARS +3.5 3.3% PLAY </v>
      </c>
      <c r="E194" s="11">
        <v>3.3</v>
      </c>
      <c r="F194" s="11">
        <v>-1.1000000000000001</v>
      </c>
      <c r="G194" s="11" t="s">
        <v>6</v>
      </c>
      <c r="H194" s="13">
        <v>-3300</v>
      </c>
      <c r="I194" s="14">
        <f t="shared" si="5"/>
        <v>0.20384310000000005</v>
      </c>
      <c r="J194" s="13">
        <f t="shared" si="6"/>
        <v>317841.10999999975</v>
      </c>
    </row>
    <row r="195" spans="1:10" x14ac:dyDescent="0.25">
      <c r="A195" s="10">
        <v>44150.684027777781</v>
      </c>
      <c r="B195" s="11" t="s">
        <v>2</v>
      </c>
      <c r="C195" s="11" t="s">
        <v>5</v>
      </c>
      <c r="D195" s="16" t="str">
        <f>HYPERLINK("https://freddywills.com/pick/7578/5-5-max-nfl-pod-62-33-145-122-l-95-max-rated-nfl-picks-guaranteed-or-back.html", "Rams -140 5.5% MAX NFL POD")</f>
        <v>Rams -140 5.5% MAX NFL POD</v>
      </c>
      <c r="E195" s="11">
        <v>5.5</v>
      </c>
      <c r="F195" s="11">
        <v>-1.4</v>
      </c>
      <c r="G195" s="11" t="s">
        <v>4</v>
      </c>
      <c r="H195" s="13">
        <v>3928.57</v>
      </c>
      <c r="I195" s="14">
        <f t="shared" si="5"/>
        <v>0.23684310000000006</v>
      </c>
      <c r="J195" s="13">
        <f t="shared" si="6"/>
        <v>321141.10999999975</v>
      </c>
    </row>
    <row r="196" spans="1:10" x14ac:dyDescent="0.25">
      <c r="A196" s="10">
        <v>44150.677083333336</v>
      </c>
      <c r="B196" s="11" t="s">
        <v>2</v>
      </c>
      <c r="C196" s="11" t="s">
        <v>5</v>
      </c>
      <c r="D196" s="16" t="str">
        <f>HYPERLINK("https://freddywills.com/pick/7566/sunday-s-nfl-3-3-play-21-6-42-812-l-27-nfl-3-bankroll-plays-guaranteed-or-back.html", "Broncos +4.5 3.3% play ")</f>
        <v xml:space="preserve">Broncos +4.5 3.3% play </v>
      </c>
      <c r="E196" s="11">
        <v>3.3</v>
      </c>
      <c r="F196" s="11">
        <v>-1.1000000000000001</v>
      </c>
      <c r="G196" s="11" t="s">
        <v>6</v>
      </c>
      <c r="H196" s="13">
        <v>-3300</v>
      </c>
      <c r="I196" s="14">
        <f t="shared" si="5"/>
        <v>0.19755740000000005</v>
      </c>
      <c r="J196" s="13">
        <f t="shared" si="6"/>
        <v>317212.53999999975</v>
      </c>
    </row>
    <row r="197" spans="1:10" x14ac:dyDescent="0.25">
      <c r="A197" s="10">
        <v>44150.541666666664</v>
      </c>
      <c r="B197" s="11" t="s">
        <v>2</v>
      </c>
      <c r="C197" s="11" t="s">
        <v>5</v>
      </c>
      <c r="D197" s="16" t="str">
        <f>HYPERLINK("https://freddywills.com/pick/7575/eagles-vs-giants-27-13-43-368-l-40-nfl-picks-in-november-guaranteed-or-back.html", "Eagles -4 2.2% play ")</f>
        <v xml:space="preserve">Eagles -4 2.2% play </v>
      </c>
      <c r="E197" s="11">
        <v>2.2000000000000002</v>
      </c>
      <c r="F197" s="11">
        <v>-1.1000000000000001</v>
      </c>
      <c r="G197" s="11" t="s">
        <v>6</v>
      </c>
      <c r="H197" s="13">
        <v>-2200</v>
      </c>
      <c r="I197" s="14">
        <f t="shared" si="5"/>
        <v>0.23055740000000005</v>
      </c>
      <c r="J197" s="13">
        <f t="shared" si="6"/>
        <v>320512.53999999975</v>
      </c>
    </row>
    <row r="198" spans="1:10" x14ac:dyDescent="0.25">
      <c r="A198" s="10">
        <v>44150.541666666664</v>
      </c>
      <c r="B198" s="11" t="s">
        <v>2</v>
      </c>
      <c r="C198" s="11" t="s">
        <v>5</v>
      </c>
      <c r="D198" s="16" t="str">
        <f>HYPERLINK("https://freddywills.com/pick/7576/1-free-nfl-pick-58-31-last-89-free-nfl-picks-41-42-lions-vs-redskins.html", "Lions -3 1.1% Free PIck ")</f>
        <v xml:space="preserve">Lions -3 1.1% Free PIck </v>
      </c>
      <c r="E198" s="11">
        <v>1.1000000000000001</v>
      </c>
      <c r="F198" s="11">
        <v>-1.1000000000000001</v>
      </c>
      <c r="G198" s="11" t="s">
        <v>9</v>
      </c>
      <c r="H198" s="13">
        <v>0</v>
      </c>
      <c r="I198" s="14">
        <f t="shared" si="5"/>
        <v>0.25255740000000004</v>
      </c>
      <c r="J198" s="13">
        <f t="shared" si="6"/>
        <v>322712.53999999975</v>
      </c>
    </row>
    <row r="199" spans="1:10" x14ac:dyDescent="0.25">
      <c r="A199" s="10">
        <v>44150.541666666664</v>
      </c>
      <c r="B199" s="11" t="s">
        <v>2</v>
      </c>
      <c r="C199" s="11" t="s">
        <v>10</v>
      </c>
      <c r="D199" s="16" t="str">
        <f>HYPERLINK("https://freddywills.com/pick/7577/4-4-nfl-teaser-of-the-week-guaranteed-or-back-105-75-75-921-l-180-all-sports-teasers.html", "Bills +8.5 / Chargers +8 4.4% NFL Teaser of the Week ")</f>
        <v xml:space="preserve">Bills +8.5 / Chargers +8 4.4% NFL Teaser of the Week </v>
      </c>
      <c r="E199" s="11">
        <v>4.4000000000000004</v>
      </c>
      <c r="F199" s="11">
        <v>-1.1000000000000001</v>
      </c>
      <c r="G199" s="11" t="s">
        <v>9</v>
      </c>
      <c r="H199" s="13">
        <v>0</v>
      </c>
      <c r="I199" s="14">
        <f t="shared" si="5"/>
        <v>0.25255740000000004</v>
      </c>
      <c r="J199" s="13">
        <f t="shared" si="6"/>
        <v>322712.53999999975</v>
      </c>
    </row>
    <row r="200" spans="1:10" x14ac:dyDescent="0.25">
      <c r="A200" s="10">
        <v>44150.5</v>
      </c>
      <c r="B200" s="11" t="s">
        <v>8</v>
      </c>
      <c r="C200" s="11" t="s">
        <v>5</v>
      </c>
      <c r="D200" s="16" t="str">
        <f>HYPERLINK("https://freddywills.com/pick/7579/3-3-college-football-sunday-noon-guaranteed-or-back.html", "UCLA +3.5 3.3% PLAY ")</f>
        <v xml:space="preserve">UCLA +3.5 3.3% PLAY </v>
      </c>
      <c r="E200" s="11">
        <v>3.3</v>
      </c>
      <c r="F200" s="11">
        <v>-1.1000000000000001</v>
      </c>
      <c r="G200" s="11" t="s">
        <v>4</v>
      </c>
      <c r="H200" s="13">
        <v>3000</v>
      </c>
      <c r="I200" s="14">
        <f t="shared" si="5"/>
        <v>0.25255740000000004</v>
      </c>
      <c r="J200" s="13">
        <f t="shared" si="6"/>
        <v>322712.53999999975</v>
      </c>
    </row>
    <row r="201" spans="1:10" x14ac:dyDescent="0.25">
      <c r="A201" s="10">
        <v>44149.8125</v>
      </c>
      <c r="B201" s="11" t="s">
        <v>8</v>
      </c>
      <c r="C201" s="11" t="s">
        <v>5</v>
      </c>
      <c r="D201" s="16" t="str">
        <f>HYPERLINK("https://freddywills.com/pick/7569/bigten-action-purdue-vs-northwestern-guaranteed-or-back-79-58-51-868-l-137-ncaaf-3-ban.html", "Purdue +3 3.3% play ")</f>
        <v xml:space="preserve">Purdue +3 3.3% play </v>
      </c>
      <c r="E201" s="11">
        <v>3.3</v>
      </c>
      <c r="F201" s="11">
        <v>-1.1000000000000001</v>
      </c>
      <c r="G201" s="11" t="s">
        <v>6</v>
      </c>
      <c r="H201" s="13">
        <v>-3300</v>
      </c>
      <c r="I201" s="14">
        <f t="shared" si="5"/>
        <v>0.22255740000000004</v>
      </c>
      <c r="J201" s="13">
        <f t="shared" si="6"/>
        <v>319712.53999999975</v>
      </c>
    </row>
    <row r="202" spans="1:10" x14ac:dyDescent="0.25">
      <c r="A202" s="10">
        <v>44149.666666666664</v>
      </c>
      <c r="B202" s="11" t="s">
        <v>8</v>
      </c>
      <c r="C202" s="11" t="s">
        <v>10</v>
      </c>
      <c r="D202" s="16" t="str">
        <f>HYPERLINK("https://freddywills.com/pick/7571/3-3-college-teaser-of-the-week-guaranteed-or-badk.html", "Texas Tech +7.5 / SMU +8.5 3.3% PLAY ")</f>
        <v xml:space="preserve">Texas Tech +7.5 / SMU +8.5 3.3% PLAY </v>
      </c>
      <c r="E202" s="11">
        <v>3.3</v>
      </c>
      <c r="F202" s="11">
        <v>-1.1000000000000001</v>
      </c>
      <c r="G202" s="11" t="s">
        <v>4</v>
      </c>
      <c r="H202" s="13">
        <v>3000</v>
      </c>
      <c r="I202" s="14">
        <f t="shared" si="5"/>
        <v>0.25555740000000005</v>
      </c>
      <c r="J202" s="13">
        <f t="shared" si="6"/>
        <v>323012.53999999975</v>
      </c>
    </row>
    <row r="203" spans="1:10" x14ac:dyDescent="0.25">
      <c r="A203" s="10">
        <v>44149.645833333336</v>
      </c>
      <c r="B203" s="11" t="s">
        <v>8</v>
      </c>
      <c r="C203" s="11" t="s">
        <v>5</v>
      </c>
      <c r="D203" s="16" t="str">
        <f>HYPERLINK("https://freddywills.com/pick/7572/saturday-s-free-college-pick-59-45-last-104-free-college-football-picks.html", "Utah State +10 1.1% Free Play ")</f>
        <v xml:space="preserve">Utah State +10 1.1% Free Play </v>
      </c>
      <c r="E203" s="11">
        <v>1.1000000000000001</v>
      </c>
      <c r="F203" s="11">
        <v>-1.1000000000000001</v>
      </c>
      <c r="G203" s="11" t="s">
        <v>6</v>
      </c>
      <c r="H203" s="13">
        <v>-1100</v>
      </c>
      <c r="I203" s="14">
        <f t="shared" si="5"/>
        <v>0.22555740000000005</v>
      </c>
      <c r="J203" s="13">
        <f t="shared" si="6"/>
        <v>320012.53999999975</v>
      </c>
    </row>
    <row r="204" spans="1:10" x14ac:dyDescent="0.25">
      <c r="A204" s="10">
        <v>44149.500694444447</v>
      </c>
      <c r="B204" s="11" t="s">
        <v>8</v>
      </c>
      <c r="C204" s="11" t="s">
        <v>5</v>
      </c>
      <c r="D204" s="16" t="str">
        <f>HYPERLINK("https://freddywills.com/pick/7573/early-bird-college-pick-nebraska-vs-penn-state-guaranteed-or-back.html", "Nebraska +3.5 -125 buy hook 2.5% play ")</f>
        <v xml:space="preserve">Nebraska +3.5 -125 buy hook 2.5% play </v>
      </c>
      <c r="E204" s="11">
        <v>2.5</v>
      </c>
      <c r="F204" s="11">
        <v>-1.25</v>
      </c>
      <c r="G204" s="11" t="s">
        <v>4</v>
      </c>
      <c r="H204" s="13">
        <v>2000</v>
      </c>
      <c r="I204" s="14">
        <f t="shared" si="5"/>
        <v>0.23655740000000006</v>
      </c>
      <c r="J204" s="13">
        <f t="shared" si="6"/>
        <v>321112.53999999975</v>
      </c>
    </row>
    <row r="205" spans="1:10" x14ac:dyDescent="0.25">
      <c r="A205" s="10">
        <v>44149.5</v>
      </c>
      <c r="B205" s="11" t="s">
        <v>8</v>
      </c>
      <c r="C205" s="11" t="s">
        <v>5</v>
      </c>
      <c r="D205" s="16" t="str">
        <f>HYPERLINK("https://freddywills.com/pick/7567/old-brass-spitoon-msu-football-vs-indianafootball-guaranteed-or-back-57-4-last-127-spor.html", "Michigan State +7 2.2% play ")</f>
        <v xml:space="preserve">Michigan State +7 2.2% play </v>
      </c>
      <c r="E205" s="11">
        <v>2.2000000000000002</v>
      </c>
      <c r="F205" s="11">
        <v>-1.1000000000000001</v>
      </c>
      <c r="G205" s="11" t="s">
        <v>6</v>
      </c>
      <c r="H205" s="13">
        <v>-2200</v>
      </c>
      <c r="I205" s="14">
        <f t="shared" si="5"/>
        <v>0.21655740000000007</v>
      </c>
      <c r="J205" s="13">
        <f t="shared" si="6"/>
        <v>319112.53999999975</v>
      </c>
    </row>
    <row r="206" spans="1:10" x14ac:dyDescent="0.25">
      <c r="A206" s="10">
        <v>44149.5</v>
      </c>
      <c r="B206" s="11" t="s">
        <v>8</v>
      </c>
      <c r="C206" s="11" t="s">
        <v>5</v>
      </c>
      <c r="D206" s="16" t="str">
        <f>HYPERLINK("https://freddywills.com/pick/7570/3-3-big12-action-saturday-tcu-vs-wvirginia-guaranteed-or-back.html", "TCU +3 3.3% PLAY ")</f>
        <v xml:space="preserve">TCU +3 3.3% PLAY </v>
      </c>
      <c r="E206" s="11">
        <v>3.3</v>
      </c>
      <c r="F206" s="11">
        <v>-1.1000000000000001</v>
      </c>
      <c r="G206" s="11" t="s">
        <v>6</v>
      </c>
      <c r="H206" s="13">
        <v>-3300</v>
      </c>
      <c r="I206" s="14">
        <f t="shared" si="5"/>
        <v>0.23855740000000006</v>
      </c>
      <c r="J206" s="13">
        <f t="shared" si="6"/>
        <v>321312.53999999975</v>
      </c>
    </row>
    <row r="207" spans="1:10" x14ac:dyDescent="0.25">
      <c r="A207" s="10">
        <v>44149.5</v>
      </c>
      <c r="B207" s="11" t="s">
        <v>8</v>
      </c>
      <c r="C207" s="11" t="s">
        <v>18</v>
      </c>
      <c r="D207" s="16" t="str">
        <f>HYPERLINK("https://freddywills.com/pick/7574/mich-st-235-0-5-bonus.html", "Mich St +235 0.5% bonus")</f>
        <v>Mich St +235 0.5% bonus</v>
      </c>
      <c r="E207" s="11">
        <v>0.5</v>
      </c>
      <c r="F207" s="11">
        <v>2.35</v>
      </c>
      <c r="G207" s="11" t="s">
        <v>6</v>
      </c>
      <c r="H207" s="13">
        <v>-500</v>
      </c>
      <c r="I207" s="14">
        <f t="shared" si="5"/>
        <v>0.27155740000000006</v>
      </c>
      <c r="J207" s="13">
        <f t="shared" si="6"/>
        <v>324612.53999999975</v>
      </c>
    </row>
    <row r="208" spans="1:10" x14ac:dyDescent="0.25">
      <c r="A208" s="10">
        <v>44148.791666666664</v>
      </c>
      <c r="B208" s="11" t="s">
        <v>8</v>
      </c>
      <c r="C208" s="11" t="s">
        <v>5</v>
      </c>
      <c r="D208" s="16" t="str">
        <f>HYPERLINK("https://freddywills.com/pick/7568/3-3-play-minnesota-vs-iowa-guaranteed-or-back-battle-of-the-bronze-pig.html", "Minnesota +3.5 3.3% play ")</f>
        <v xml:space="preserve">Minnesota +3.5 3.3% play </v>
      </c>
      <c r="E208" s="11">
        <v>3.3</v>
      </c>
      <c r="F208" s="11">
        <v>-1.1000000000000001</v>
      </c>
      <c r="G208" s="11" t="s">
        <v>6</v>
      </c>
      <c r="H208" s="13">
        <v>-3300</v>
      </c>
      <c r="I208" s="14">
        <f t="shared" si="5"/>
        <v>0.27655740000000006</v>
      </c>
      <c r="J208" s="13">
        <f t="shared" si="6"/>
        <v>325112.53999999975</v>
      </c>
    </row>
    <row r="209" spans="1:10" x14ac:dyDescent="0.25">
      <c r="A209" s="10">
        <v>44147.847222222219</v>
      </c>
      <c r="B209" s="11" t="s">
        <v>2</v>
      </c>
      <c r="C209" s="11" t="s">
        <v>5</v>
      </c>
      <c r="D209" s="16" t="str">
        <f>HYPERLINK("https://freddywills.com/pick/7565/colts-vs-titans-guaranteed-or-back-73-54-last-127-sports-picks-33-8.html", "Colts -1 2.2% play ")</f>
        <v xml:space="preserve">Colts -1 2.2% play </v>
      </c>
      <c r="E209" s="11">
        <v>2.2000000000000002</v>
      </c>
      <c r="F209" s="11">
        <v>-1.1000000000000001</v>
      </c>
      <c r="G209" s="11" t="s">
        <v>4</v>
      </c>
      <c r="H209" s="13">
        <v>2000</v>
      </c>
      <c r="I209" s="14">
        <f t="shared" si="5"/>
        <v>0.30955740000000009</v>
      </c>
      <c r="J209" s="13">
        <f t="shared" si="6"/>
        <v>328412.53999999975</v>
      </c>
    </row>
    <row r="210" spans="1:10" x14ac:dyDescent="0.25">
      <c r="A210" s="10">
        <v>44143.684027777781</v>
      </c>
      <c r="B210" s="11" t="s">
        <v>2</v>
      </c>
      <c r="C210" s="11" t="s">
        <v>5</v>
      </c>
      <c r="D210" s="16" t="str">
        <f>HYPERLINK("https://freddywills.com/pick/7559/1-free-nfl-pick-57-31-40-42-last-88-nfl-free-picks-cowboys-vs-steelers.html", "Cowboys +14.5 1.1% Free play ")</f>
        <v xml:space="preserve">Cowboys +14.5 1.1% Free play </v>
      </c>
      <c r="E210" s="11">
        <v>1.1000000000000001</v>
      </c>
      <c r="F210" s="11">
        <v>-1.1000000000000001</v>
      </c>
      <c r="G210" s="11" t="s">
        <v>4</v>
      </c>
      <c r="H210" s="13">
        <v>1000</v>
      </c>
      <c r="I210" s="14">
        <f t="shared" si="5"/>
        <v>0.28955740000000008</v>
      </c>
      <c r="J210" s="13">
        <f t="shared" si="6"/>
        <v>326412.53999999975</v>
      </c>
    </row>
    <row r="211" spans="1:10" x14ac:dyDescent="0.25">
      <c r="A211" s="10">
        <v>44143.684027777781</v>
      </c>
      <c r="B211" s="11" t="s">
        <v>2</v>
      </c>
      <c r="C211" s="11" t="s">
        <v>5</v>
      </c>
      <c r="D211" s="16" t="str">
        <f>HYPERLINK("https://freddywills.com/pick/7562/3-3-play-dolphins-vs-cardinals-guaranteed-or-back-130-91-102-428-l-221-all-sports-3-bank.html", "Dolphins +6 3.3% play ")</f>
        <v xml:space="preserve">Dolphins +6 3.3% play </v>
      </c>
      <c r="E211" s="11">
        <v>3.3</v>
      </c>
      <c r="F211" s="11">
        <v>-1.1000000000000001</v>
      </c>
      <c r="G211" s="11" t="s">
        <v>4</v>
      </c>
      <c r="H211" s="13">
        <v>3000</v>
      </c>
      <c r="I211" s="14">
        <f t="shared" si="5"/>
        <v>0.27955740000000007</v>
      </c>
      <c r="J211" s="13">
        <f t="shared" si="6"/>
        <v>325412.53999999975</v>
      </c>
    </row>
    <row r="212" spans="1:10" x14ac:dyDescent="0.25">
      <c r="A212" s="10">
        <v>44143.541666666664</v>
      </c>
      <c r="B212" s="11" t="s">
        <v>2</v>
      </c>
      <c r="C212" s="11" t="s">
        <v>5</v>
      </c>
      <c r="D212" s="16" t="str">
        <f>HYPERLINK("https://freddywills.com/pick/7560/2-2-play-pantehrs-vs-chiefts-guaranteed-or-back-69-51-last-120-picks.html", "Panthers +10.5 2.2% play ")</f>
        <v xml:space="preserve">Panthers +10.5 2.2% play </v>
      </c>
      <c r="E212" s="11">
        <v>2.2000000000000002</v>
      </c>
      <c r="F212" s="11">
        <v>-1.1000000000000001</v>
      </c>
      <c r="G212" s="11" t="s">
        <v>4</v>
      </c>
      <c r="H212" s="13">
        <v>2000</v>
      </c>
      <c r="I212" s="14">
        <f t="shared" si="5"/>
        <v>0.2495574000000001</v>
      </c>
      <c r="J212" s="13">
        <f t="shared" si="6"/>
        <v>322412.53999999975</v>
      </c>
    </row>
    <row r="213" spans="1:10" x14ac:dyDescent="0.25">
      <c r="A213" s="10">
        <v>44143.541666666664</v>
      </c>
      <c r="B213" s="11" t="s">
        <v>2</v>
      </c>
      <c r="C213" s="11" t="s">
        <v>10</v>
      </c>
      <c r="D213" s="16" t="str">
        <f>HYPERLINK("https://freddywills.com/pick/7561/nfl-teaser-of-the-week-45-33-24-431-l-78-nfl-teasers-guaranteed-or-back.html", "Colts +7.5 / Chargers +7.5 3.3% play ")</f>
        <v xml:space="preserve">Colts +7.5 / Chargers +7.5 3.3% play </v>
      </c>
      <c r="E213" s="11">
        <v>3.3</v>
      </c>
      <c r="F213" s="11">
        <v>-1.1000000000000001</v>
      </c>
      <c r="G213" s="11" t="s">
        <v>6</v>
      </c>
      <c r="H213" s="13">
        <v>-3300</v>
      </c>
      <c r="I213" s="14">
        <f t="shared" si="5"/>
        <v>0.22955740000000011</v>
      </c>
      <c r="J213" s="13">
        <f t="shared" si="6"/>
        <v>320412.53999999975</v>
      </c>
    </row>
    <row r="214" spans="1:10" x14ac:dyDescent="0.25">
      <c r="A214" s="10">
        <v>44143.541666666664</v>
      </c>
      <c r="B214" s="11" t="s">
        <v>2</v>
      </c>
      <c r="C214" s="11" t="s">
        <v>7</v>
      </c>
      <c r="D214" s="16" t="str">
        <f>HYPERLINK("https://freddywills.com/pick/7563/nfl-total-of-the-week-guaranteed-or-back-14-5-last-19-over-the-total-plays.html", "Broncos / Falcons Over 49 2.2% play ")</f>
        <v xml:space="preserve">Broncos / Falcons Over 49 2.2% play </v>
      </c>
      <c r="E214" s="11">
        <v>2.2000000000000002</v>
      </c>
      <c r="F214" s="11">
        <v>-1.1000000000000001</v>
      </c>
      <c r="G214" s="11" t="s">
        <v>4</v>
      </c>
      <c r="H214" s="13">
        <v>2000</v>
      </c>
      <c r="I214" s="14">
        <f t="shared" si="5"/>
        <v>0.26255740000000011</v>
      </c>
      <c r="J214" s="13">
        <f t="shared" si="6"/>
        <v>323712.53999999975</v>
      </c>
    </row>
    <row r="215" spans="1:10" x14ac:dyDescent="0.25">
      <c r="A215" s="10">
        <v>44143.541666666664</v>
      </c>
      <c r="B215" s="11" t="s">
        <v>2</v>
      </c>
      <c r="C215" s="11" t="s">
        <v>5</v>
      </c>
      <c r="D215" s="16" t="str">
        <f>HYPERLINK("https://freddywills.com/pick/7564/3-play-bears-vs-titans-guaranteed-or-back.html", "Bears +7 -125 3% play ")</f>
        <v xml:space="preserve">Bears +7 -125 3% play </v>
      </c>
      <c r="E215" s="11">
        <v>3</v>
      </c>
      <c r="F215" s="11">
        <v>-1.25</v>
      </c>
      <c r="G215" s="11" t="s">
        <v>9</v>
      </c>
      <c r="H215" s="13">
        <v>0</v>
      </c>
      <c r="I215" s="14">
        <f t="shared" si="5"/>
        <v>0.24255740000000012</v>
      </c>
      <c r="J215" s="13">
        <f t="shared" si="6"/>
        <v>321712.53999999975</v>
      </c>
    </row>
    <row r="216" spans="1:10" x14ac:dyDescent="0.25">
      <c r="A216" s="10">
        <v>44142.9375</v>
      </c>
      <c r="B216" s="11" t="s">
        <v>8</v>
      </c>
      <c r="C216" s="11" t="s">
        <v>18</v>
      </c>
      <c r="D216" s="16" t="str">
        <f>HYPERLINK("https://freddywills.com/pick/7552/3-5-pac12-action-late-saturday-guaranteed-or-back-78-55-58-668-l-133-ncaaf-3-bankroll.html", "Oregon State -120 3.5% play ")</f>
        <v xml:space="preserve">Oregon State -120 3.5% play </v>
      </c>
      <c r="E216" s="11">
        <v>3.5</v>
      </c>
      <c r="F216" s="11">
        <v>-1.2</v>
      </c>
      <c r="G216" s="11" t="s">
        <v>6</v>
      </c>
      <c r="H216" s="13">
        <v>-3500</v>
      </c>
      <c r="I216" s="14">
        <f t="shared" si="5"/>
        <v>0.24255740000000012</v>
      </c>
      <c r="J216" s="13">
        <f t="shared" si="6"/>
        <v>321712.53999999975</v>
      </c>
    </row>
    <row r="217" spans="1:10" x14ac:dyDescent="0.25">
      <c r="A217" s="10">
        <v>44142.832638888889</v>
      </c>
      <c r="B217" s="11" t="s">
        <v>8</v>
      </c>
      <c r="C217" s="11" t="s">
        <v>5</v>
      </c>
      <c r="D217" s="16" t="str">
        <f>HYPERLINK("https://freddywills.com/pick/7550/clemson-vs-notre-dame-guaranteed-or-back.html", "Clemson -6 3.3% play")</f>
        <v>Clemson -6 3.3% play</v>
      </c>
      <c r="E217" s="11">
        <v>3.6</v>
      </c>
      <c r="F217" s="11">
        <v>-1.1000000000000001</v>
      </c>
      <c r="G217" s="11" t="s">
        <v>6</v>
      </c>
      <c r="H217" s="13">
        <v>-3600</v>
      </c>
      <c r="I217" s="14">
        <f t="shared" si="5"/>
        <v>0.27755740000000012</v>
      </c>
      <c r="J217" s="13">
        <f t="shared" si="6"/>
        <v>325212.53999999975</v>
      </c>
    </row>
    <row r="218" spans="1:10" x14ac:dyDescent="0.25">
      <c r="A218" s="10">
        <v>44142.791666666664</v>
      </c>
      <c r="B218" s="11" t="s">
        <v>8</v>
      </c>
      <c r="C218" s="11" t="s">
        <v>5</v>
      </c>
      <c r="D218" s="16" t="str">
        <f>HYPERLINK("https://freddywills.com/pick/7553/saturday-s-college-football-freepick-southcarolina-vs-texasam-78-55-last-133-free-sports-pic.html", "South Carolina +10 1.1% Free Pick")</f>
        <v>South Carolina +10 1.1% Free Pick</v>
      </c>
      <c r="E218" s="11">
        <v>1.1000000000000001</v>
      </c>
      <c r="F218" s="11">
        <v>-1.1000000000000001</v>
      </c>
      <c r="G218" s="11" t="s">
        <v>6</v>
      </c>
      <c r="H218" s="13">
        <v>-1100</v>
      </c>
      <c r="I218" s="14">
        <f t="shared" si="5"/>
        <v>0.3135574000000001</v>
      </c>
      <c r="J218" s="13">
        <f t="shared" si="6"/>
        <v>328812.53999999975</v>
      </c>
    </row>
    <row r="219" spans="1:10" x14ac:dyDescent="0.25">
      <c r="A219" s="10">
        <v>44142.791666666664</v>
      </c>
      <c r="B219" s="11" t="s">
        <v>8</v>
      </c>
      <c r="C219" s="11" t="s">
        <v>5</v>
      </c>
      <c r="D219" s="16" t="str">
        <f>HYPERLINK("https://freddywills.com/pick/7554/3-big-12-action-play-iowa-state-vs-baylor-guaranteed-or-back.html", "Iowa State -13.5 -115 buy 1/2 3% play ")</f>
        <v xml:space="preserve">Iowa State -13.5 -115 buy 1/2 3% play </v>
      </c>
      <c r="E219" s="11">
        <v>3</v>
      </c>
      <c r="F219" s="11">
        <v>-1.1499999999999999</v>
      </c>
      <c r="G219" s="11" t="s">
        <v>6</v>
      </c>
      <c r="H219" s="13">
        <v>-3000</v>
      </c>
      <c r="I219" s="14">
        <f t="shared" si="5"/>
        <v>0.32455740000000011</v>
      </c>
      <c r="J219" s="13">
        <f t="shared" si="6"/>
        <v>329912.53999999975</v>
      </c>
    </row>
    <row r="220" spans="1:10" x14ac:dyDescent="0.25">
      <c r="A220" s="10">
        <v>44142.645833333336</v>
      </c>
      <c r="B220" s="11" t="s">
        <v>8</v>
      </c>
      <c r="C220" s="11" t="s">
        <v>5</v>
      </c>
      <c r="D220" s="16" t="str">
        <f>HYPERLINK("https://freddywills.com/pick/7556/5-5-max-ncaaf-pod-guaranteed-or-back-georgia-vs-florida-103-82-82-348-l-185-max-rated-n.html", "Georgia -3 -115 5.5% NCAAF POD ")</f>
        <v xml:space="preserve">Georgia -3 -115 5.5% NCAAF POD </v>
      </c>
      <c r="E220" s="11">
        <v>5.5</v>
      </c>
      <c r="F220" s="11">
        <v>-115</v>
      </c>
      <c r="G220" s="11" t="s">
        <v>6</v>
      </c>
      <c r="H220" s="13">
        <v>-5500</v>
      </c>
      <c r="I220" s="14">
        <f t="shared" si="5"/>
        <v>0.35455740000000008</v>
      </c>
      <c r="J220" s="13">
        <f t="shared" si="6"/>
        <v>332912.53999999975</v>
      </c>
    </row>
    <row r="221" spans="1:10" x14ac:dyDescent="0.25">
      <c r="A221" s="10">
        <v>44142.620138888888</v>
      </c>
      <c r="B221" s="11" t="s">
        <v>8</v>
      </c>
      <c r="C221" s="11" t="s">
        <v>5</v>
      </c>
      <c r="D221" s="16" t="str">
        <f>HYPERLINK("https://freddywills.com/pick/7549/3-3-play-army-vs-air-force-guaranteed-or-back.html", "Air Force +7 3.3%")</f>
        <v>Air Force +7 3.3%</v>
      </c>
      <c r="E221" s="11">
        <v>3.3</v>
      </c>
      <c r="F221" s="11">
        <v>-1.1000000000000001</v>
      </c>
      <c r="G221" s="11" t="s">
        <v>11</v>
      </c>
      <c r="H221" s="13">
        <v>0</v>
      </c>
      <c r="I221" s="14">
        <f t="shared" si="5"/>
        <v>0.40955740000000007</v>
      </c>
      <c r="J221" s="13">
        <f t="shared" si="6"/>
        <v>338412.53999999975</v>
      </c>
    </row>
    <row r="222" spans="1:10" x14ac:dyDescent="0.25">
      <c r="A222" s="10">
        <v>44142.5</v>
      </c>
      <c r="B222" s="11" t="s">
        <v>8</v>
      </c>
      <c r="C222" s="11" t="s">
        <v>5</v>
      </c>
      <c r="D222" s="16" t="str">
        <f>HYPERLINK("https://freddywills.com/pick/7555/big-ten-action-iowa-vs-michiganst.html", "Iowa -6.5 2.2% play ")</f>
        <v xml:space="preserve">Iowa -6.5 2.2% play </v>
      </c>
      <c r="E222" s="11">
        <v>2.2000000000000002</v>
      </c>
      <c r="F222" s="11">
        <v>-1.1000000000000001</v>
      </c>
      <c r="G222" s="11" t="s">
        <v>4</v>
      </c>
      <c r="H222" s="13">
        <v>2000</v>
      </c>
      <c r="I222" s="14">
        <f t="shared" si="5"/>
        <v>0.40955740000000007</v>
      </c>
      <c r="J222" s="13">
        <f t="shared" si="6"/>
        <v>338412.53999999975</v>
      </c>
    </row>
    <row r="223" spans="1:10" x14ac:dyDescent="0.25">
      <c r="A223" s="10">
        <v>44142.5</v>
      </c>
      <c r="B223" s="11" t="s">
        <v>8</v>
      </c>
      <c r="C223" s="11" t="s">
        <v>5</v>
      </c>
      <c r="D223" s="16" t="str">
        <f>HYPERLINK("https://freddywills.com/pick/7557/michgian-vs-indiana-guaranteed-or-back-16-5-last-21-picks.html", "Michigan -3.5 2.2% play ")</f>
        <v xml:space="preserve">Michigan -3.5 2.2% play </v>
      </c>
      <c r="E223" s="11">
        <v>2.2000000000000002</v>
      </c>
      <c r="F223" s="11">
        <v>-1.1000000000000001</v>
      </c>
      <c r="G223" s="11" t="s">
        <v>6</v>
      </c>
      <c r="H223" s="13">
        <v>-2200</v>
      </c>
      <c r="I223" s="14">
        <f t="shared" si="5"/>
        <v>0.38955740000000005</v>
      </c>
      <c r="J223" s="13">
        <f t="shared" si="6"/>
        <v>336412.53999999975</v>
      </c>
    </row>
    <row r="224" spans="1:10" x14ac:dyDescent="0.25">
      <c r="A224" s="10">
        <v>44142.5</v>
      </c>
      <c r="B224" s="11" t="s">
        <v>8</v>
      </c>
      <c r="C224" s="11" t="s">
        <v>5</v>
      </c>
      <c r="D224" s="16" t="str">
        <f>HYPERLINK("https://freddywills.com/pick/7558/3-3-play-nebraska-vs-norhtwestern-guaranteed-or-back.html", "Nebraska +3.5 3.3% play ")</f>
        <v xml:space="preserve">Nebraska +3.5 3.3% play </v>
      </c>
      <c r="E224" s="11">
        <v>3.3</v>
      </c>
      <c r="F224" s="11">
        <v>-1.1000000000000001</v>
      </c>
      <c r="G224" s="11" t="s">
        <v>6</v>
      </c>
      <c r="H224" s="13">
        <v>-3300</v>
      </c>
      <c r="I224" s="14">
        <f t="shared" si="5"/>
        <v>0.41155740000000007</v>
      </c>
      <c r="J224" s="13">
        <f t="shared" si="6"/>
        <v>338612.53999999975</v>
      </c>
    </row>
    <row r="225" spans="1:10" x14ac:dyDescent="0.25">
      <c r="A225" s="10">
        <v>44141.875</v>
      </c>
      <c r="B225" s="11" t="s">
        <v>8</v>
      </c>
      <c r="C225" s="11" t="s">
        <v>5</v>
      </c>
      <c r="D225" s="16" t="str">
        <f>HYPERLINK("https://freddywills.com/pick/7551/3-3-friday-night-lights-san-jose-state-vs-san-diego-state-129-89-105-728-l-218-all-sports-3-b.html", "San Jose State +9 3.3% play ")</f>
        <v xml:space="preserve">San Jose State +9 3.3% play </v>
      </c>
      <c r="E225" s="11">
        <v>3.3</v>
      </c>
      <c r="F225" s="11">
        <v>-1.1000000000000001</v>
      </c>
      <c r="G225" s="11" t="s">
        <v>4</v>
      </c>
      <c r="H225" s="13">
        <v>3000</v>
      </c>
      <c r="I225" s="14">
        <f t="shared" si="5"/>
        <v>0.4445574000000001</v>
      </c>
      <c r="J225" s="13">
        <f t="shared" si="6"/>
        <v>341912.53999999975</v>
      </c>
    </row>
    <row r="226" spans="1:10" x14ac:dyDescent="0.25">
      <c r="A226" s="10">
        <v>44136.670138888891</v>
      </c>
      <c r="B226" s="11" t="s">
        <v>2</v>
      </c>
      <c r="C226" s="11" t="s">
        <v>7</v>
      </c>
      <c r="D226" s="16" t="str">
        <f>HYPERLINK("https://freddywills.com/pick/7545/nfl-total-of-the-week-guaranteed-or-back-72-51-58-746-l-123-nfl-3-bankroll.html", "Chargers / Broncos Over 44.5 3.3% play ")</f>
        <v xml:space="preserve">Chargers / Broncos Over 44.5 3.3% play </v>
      </c>
      <c r="E226" s="11">
        <v>3.3</v>
      </c>
      <c r="F226" s="11">
        <v>-1.1000000000000001</v>
      </c>
      <c r="G226" s="11" t="s">
        <v>4</v>
      </c>
      <c r="H226" s="13">
        <v>3000</v>
      </c>
      <c r="I226" s="14">
        <f t="shared" si="5"/>
        <v>0.41455740000000008</v>
      </c>
      <c r="J226" s="13">
        <f t="shared" si="6"/>
        <v>338912.53999999975</v>
      </c>
    </row>
    <row r="227" spans="1:10" x14ac:dyDescent="0.25">
      <c r="A227" s="10">
        <v>44136.670138888891</v>
      </c>
      <c r="B227" s="11" t="s">
        <v>2</v>
      </c>
      <c r="C227" s="11" t="s">
        <v>5</v>
      </c>
      <c r="D227" s="16" t="str">
        <f>HYPERLINK("https://freddywills.com/pick/7548/3-3-nfl-play-chargers-vs-broncos-guaranteed-or-back.html", "Broncos +3.5 3.3% play")</f>
        <v>Broncos +3.5 3.3% play</v>
      </c>
      <c r="E227" s="11">
        <v>3.3</v>
      </c>
      <c r="F227" s="11">
        <v>-1.1000000000000001</v>
      </c>
      <c r="G227" s="11" t="s">
        <v>4</v>
      </c>
      <c r="H227" s="13">
        <v>3000</v>
      </c>
      <c r="I227" s="14">
        <f t="shared" si="5"/>
        <v>0.38455740000000005</v>
      </c>
      <c r="J227" s="13">
        <f t="shared" si="6"/>
        <v>335912.53999999975</v>
      </c>
    </row>
    <row r="228" spans="1:10" x14ac:dyDescent="0.25">
      <c r="A228" s="10">
        <v>44136.541666666664</v>
      </c>
      <c r="B228" s="11" t="s">
        <v>2</v>
      </c>
      <c r="C228" s="11" t="s">
        <v>5</v>
      </c>
      <c r="D228" s="16" t="str">
        <f>HYPERLINK("https://freddywills.com/pick/7546/5-5-max-nfl-pod-vikings-vs-packers-61-33-140-122-l-94-max-rated-nfl-picks.html", "Vikings +6 5.5% NFL POD ")</f>
        <v xml:space="preserve">Vikings +6 5.5% NFL POD </v>
      </c>
      <c r="E228" s="11">
        <v>5.5</v>
      </c>
      <c r="F228" s="11">
        <v>-1.1000000000000001</v>
      </c>
      <c r="G228" s="11" t="s">
        <v>4</v>
      </c>
      <c r="H228" s="13">
        <v>5000</v>
      </c>
      <c r="I228" s="14">
        <f t="shared" si="5"/>
        <v>0.35455740000000008</v>
      </c>
      <c r="J228" s="13">
        <f t="shared" si="6"/>
        <v>332912.53999999975</v>
      </c>
    </row>
    <row r="229" spans="1:10" x14ac:dyDescent="0.25">
      <c r="A229" s="10">
        <v>44136.541666666664</v>
      </c>
      <c r="B229" s="11" t="s">
        <v>2</v>
      </c>
      <c r="C229" s="11" t="s">
        <v>5</v>
      </c>
      <c r="D229" s="16" t="str">
        <f>HYPERLINK("https://freddywills.com/pick/7547/dolphins-vs-rams-guaranteed-or-back.html", "Dolphins +3.5")</f>
        <v>Dolphins +3.5</v>
      </c>
      <c r="E229" s="11">
        <v>2.2000000000000002</v>
      </c>
      <c r="F229" s="11">
        <v>-1.1000000000000001</v>
      </c>
      <c r="G229" s="11" t="s">
        <v>4</v>
      </c>
      <c r="H229" s="13">
        <v>2000</v>
      </c>
      <c r="I229" s="14">
        <f t="shared" si="5"/>
        <v>0.30455740000000009</v>
      </c>
      <c r="J229" s="13">
        <f t="shared" si="6"/>
        <v>327912.53999999975</v>
      </c>
    </row>
    <row r="230" spans="1:10" x14ac:dyDescent="0.25">
      <c r="A230" s="10">
        <v>44136.5</v>
      </c>
      <c r="B230" s="11" t="s">
        <v>2</v>
      </c>
      <c r="C230" s="11" t="s">
        <v>10</v>
      </c>
      <c r="D230" s="16" t="str">
        <f>HYPERLINK("https://freddywills.com/pick/7544/4-4-nfl-teaser-of-the-week-guaranteed-or-back-104-74-76-221-l-178-all-sports-teasers.html", "Bears +11 / Steelers +10.5 4.4% teaser play ")</f>
        <v xml:space="preserve">Bears +11 / Steelers +10.5 4.4% teaser play </v>
      </c>
      <c r="E230" s="11">
        <v>3.3</v>
      </c>
      <c r="F230" s="11">
        <v>-1.1000000000000001</v>
      </c>
      <c r="G230" s="11" t="s">
        <v>4</v>
      </c>
      <c r="H230" s="13">
        <v>3000</v>
      </c>
      <c r="I230" s="14">
        <f t="shared" ref="I230:I293" si="7">H230/100000+I231</f>
        <v>0.28455740000000007</v>
      </c>
      <c r="J230" s="13">
        <f t="shared" si="6"/>
        <v>325912.53999999975</v>
      </c>
    </row>
    <row r="231" spans="1:10" x14ac:dyDescent="0.25">
      <c r="A231" s="10">
        <v>44135.895833333336</v>
      </c>
      <c r="B231" s="11" t="s">
        <v>8</v>
      </c>
      <c r="C231" s="11" t="s">
        <v>5</v>
      </c>
      <c r="D231" s="16" t="str">
        <f>HYPERLINK("https://freddywills.com/pick/7543/late-night-fix-3-play-guaranteed-or-back-utah-state-vs-san-diego-state.html", "Utah State +8.5 2.2% play / Utah State +270 1% bonus")</f>
        <v>Utah State +8.5 2.2% play / Utah State +270 1% bonus</v>
      </c>
      <c r="E231" s="11">
        <v>3.2</v>
      </c>
      <c r="F231" s="11">
        <v>-1.1000000000000001</v>
      </c>
      <c r="G231" s="11" t="s">
        <v>6</v>
      </c>
      <c r="H231" s="13">
        <v>-3200</v>
      </c>
      <c r="I231" s="14">
        <f t="shared" si="7"/>
        <v>0.25455740000000004</v>
      </c>
      <c r="J231" s="13">
        <f t="shared" ref="J231:J294" si="8">H231+J232</f>
        <v>322912.53999999975</v>
      </c>
    </row>
    <row r="232" spans="1:10" x14ac:dyDescent="0.25">
      <c r="A232" s="10">
        <v>44135.8125</v>
      </c>
      <c r="B232" s="11" t="s">
        <v>8</v>
      </c>
      <c r="C232" s="11" t="s">
        <v>5</v>
      </c>
      <c r="D232" s="16" t="str">
        <f>HYPERLINK("https://freddywills.com/pick/7541/2-2-play-ohio-state-vs-penn-state-big-ten-game-of-the-week-guaranteed-or-back.html", "Ohio State -10 2.2% play ")</f>
        <v xml:space="preserve">Ohio State -10 2.2% play </v>
      </c>
      <c r="E232" s="11">
        <v>2.2000000000000002</v>
      </c>
      <c r="F232" s="11">
        <v>-1.1000000000000001</v>
      </c>
      <c r="G232" s="11" t="s">
        <v>4</v>
      </c>
      <c r="H232" s="13">
        <v>2000</v>
      </c>
      <c r="I232" s="14">
        <f t="shared" si="7"/>
        <v>0.28655740000000007</v>
      </c>
      <c r="J232" s="13">
        <f t="shared" si="8"/>
        <v>326112.53999999975</v>
      </c>
    </row>
    <row r="233" spans="1:10" x14ac:dyDescent="0.25">
      <c r="A233" s="10">
        <v>44135.75</v>
      </c>
      <c r="B233" s="11" t="s">
        <v>8</v>
      </c>
      <c r="C233" s="11" t="s">
        <v>5</v>
      </c>
      <c r="D233" s="16" t="str">
        <f>HYPERLINK("https://freddywills.com/pick/7539/airforce-vs-boisestate-guaranteed-or-back.html", "Air Force +14 2.2% play ")</f>
        <v xml:space="preserve">Air Force +14 2.2% play </v>
      </c>
      <c r="E233" s="11">
        <v>2.2000000000000002</v>
      </c>
      <c r="F233" s="11">
        <v>-1.1000000000000001</v>
      </c>
      <c r="G233" s="11" t="s">
        <v>6</v>
      </c>
      <c r="H233" s="13">
        <v>-2200</v>
      </c>
      <c r="I233" s="14">
        <f t="shared" si="7"/>
        <v>0.26655740000000006</v>
      </c>
      <c r="J233" s="13">
        <f t="shared" si="8"/>
        <v>324112.53999999975</v>
      </c>
    </row>
    <row r="234" spans="1:10" x14ac:dyDescent="0.25">
      <c r="A234" s="10">
        <v>44135.645833333336</v>
      </c>
      <c r="B234" s="11" t="s">
        <v>8</v>
      </c>
      <c r="C234" s="11" t="s">
        <v>5</v>
      </c>
      <c r="D234" s="16" t="str">
        <f>HYPERLINK("https://freddywills.com/pick/7537/1-1-free-college-football-pick-texas-vs-oklahomast.html", "Texas +3.5 1.1% free play ")</f>
        <v xml:space="preserve">Texas +3.5 1.1% free play </v>
      </c>
      <c r="E234" s="11">
        <v>1.1000000000000001</v>
      </c>
      <c r="F234" s="11">
        <v>-1.1000000000000001</v>
      </c>
      <c r="G234" s="11" t="s">
        <v>4</v>
      </c>
      <c r="H234" s="13">
        <v>1000</v>
      </c>
      <c r="I234" s="14">
        <f t="shared" si="7"/>
        <v>0.28855740000000007</v>
      </c>
      <c r="J234" s="13">
        <f t="shared" si="8"/>
        <v>326312.53999999975</v>
      </c>
    </row>
    <row r="235" spans="1:10" x14ac:dyDescent="0.25">
      <c r="A235" s="10">
        <v>44135.645833333336</v>
      </c>
      <c r="B235" s="11" t="s">
        <v>8</v>
      </c>
      <c r="C235" s="11" t="s">
        <v>5</v>
      </c>
      <c r="D235" s="16" t="str">
        <f>HYPERLINK("https://freddywills.com/pick/7538/money-line-dog-of-saturday-83-117-98-180-l-200-ncaaf-money-line-dog-plays.html", "Auburn +120 3% play ")</f>
        <v xml:space="preserve">Auburn +120 3% play </v>
      </c>
      <c r="E235" s="11">
        <v>3</v>
      </c>
      <c r="F235" s="11">
        <v>1.2</v>
      </c>
      <c r="G235" s="11" t="s">
        <v>4</v>
      </c>
      <c r="H235" s="13">
        <v>3600</v>
      </c>
      <c r="I235" s="14">
        <f t="shared" si="7"/>
        <v>0.27855740000000007</v>
      </c>
      <c r="J235" s="13">
        <f t="shared" si="8"/>
        <v>325312.53999999975</v>
      </c>
    </row>
    <row r="236" spans="1:10" x14ac:dyDescent="0.25">
      <c r="A236" s="10">
        <v>44135.645833333336</v>
      </c>
      <c r="B236" s="11" t="s">
        <v>8</v>
      </c>
      <c r="C236" s="11" t="s">
        <v>5</v>
      </c>
      <c r="D236" s="16" t="str">
        <f>HYPERLINK("https://freddywills.com/pick/7540/3-3-play-tcu-vs-baylor-74-54-48-910-l-128-ncaaf-3-bankroll-guaranteed-or-back.html", "TCU -2.5 3.3% PLAY ")</f>
        <v xml:space="preserve">TCU -2.5 3.3% PLAY </v>
      </c>
      <c r="E236" s="11">
        <v>3.3</v>
      </c>
      <c r="F236" s="11">
        <v>-1.1000000000000001</v>
      </c>
      <c r="G236" s="11" t="s">
        <v>4</v>
      </c>
      <c r="H236" s="13">
        <v>3000</v>
      </c>
      <c r="I236" s="14">
        <f t="shared" si="7"/>
        <v>0.24255740000000009</v>
      </c>
      <c r="J236" s="13">
        <f t="shared" si="8"/>
        <v>321712.53999999975</v>
      </c>
    </row>
    <row r="237" spans="1:10" x14ac:dyDescent="0.25">
      <c r="A237" s="10">
        <v>44135.645833333336</v>
      </c>
      <c r="B237" s="11" t="s">
        <v>8</v>
      </c>
      <c r="C237" s="11" t="s">
        <v>18</v>
      </c>
      <c r="D237" s="16" t="str">
        <f>HYPERLINK("https://freddywills.com/pick/7542/iowa-vs-northwestern-bigten-matchup-2-5-play-55-45-82-905-l-100-all-sports-money-line-plays.html", "Iowa -120 2.5% play ")</f>
        <v xml:space="preserve">Iowa -120 2.5% play </v>
      </c>
      <c r="E237" s="11">
        <v>2.5</v>
      </c>
      <c r="F237" s="11">
        <v>-1.2</v>
      </c>
      <c r="G237" s="11" t="s">
        <v>6</v>
      </c>
      <c r="H237" s="13">
        <v>-2500</v>
      </c>
      <c r="I237" s="14">
        <f t="shared" si="7"/>
        <v>0.21255740000000009</v>
      </c>
      <c r="J237" s="13">
        <f t="shared" si="8"/>
        <v>318712.53999999975</v>
      </c>
    </row>
    <row r="238" spans="1:10" x14ac:dyDescent="0.25">
      <c r="A238" s="10">
        <v>44134.895833333336</v>
      </c>
      <c r="B238" s="11" t="s">
        <v>8</v>
      </c>
      <c r="C238" s="11" t="s">
        <v>5</v>
      </c>
      <c r="D238" s="16" t="str">
        <f>HYPERLINK("https://freddywills.com/pick/7536/5-5-ncaaf-pod-friday-night-lights-hawaii-vs-wyoming-guaranteed-or-back-102-82-77-348.html", "Wyoming -1 5.5% NCAAF POD")</f>
        <v>Wyoming -1 5.5% NCAAF POD</v>
      </c>
      <c r="E238" s="11">
        <v>5.5</v>
      </c>
      <c r="F238" s="11">
        <v>-1.1000000000000001</v>
      </c>
      <c r="G238" s="11" t="s">
        <v>4</v>
      </c>
      <c r="H238" s="13">
        <v>5000</v>
      </c>
      <c r="I238" s="14">
        <f t="shared" si="7"/>
        <v>0.23755740000000009</v>
      </c>
      <c r="J238" s="13">
        <f t="shared" si="8"/>
        <v>321212.53999999975</v>
      </c>
    </row>
    <row r="239" spans="1:10" x14ac:dyDescent="0.25">
      <c r="A239" s="10">
        <v>44133.916666666664</v>
      </c>
      <c r="B239" s="11" t="s">
        <v>8</v>
      </c>
      <c r="C239" s="11" t="s">
        <v>18</v>
      </c>
      <c r="D239" s="16" t="str">
        <f>HYPERLINK("https://freddywills.com/pick/7535/3-play-fresno-state-vs-colorado-state-guaranteed-or-back-50-69-roi-angel.html", "Fresno State +125 3% play ")</f>
        <v xml:space="preserve">Fresno State +125 3% play </v>
      </c>
      <c r="E239" s="11">
        <v>3</v>
      </c>
      <c r="F239" s="11">
        <v>1.25</v>
      </c>
      <c r="G239" s="11" t="s">
        <v>4</v>
      </c>
      <c r="H239" s="13">
        <v>3750</v>
      </c>
      <c r="I239" s="14">
        <f t="shared" si="7"/>
        <v>0.18755740000000007</v>
      </c>
      <c r="J239" s="13">
        <f t="shared" si="8"/>
        <v>316212.53999999975</v>
      </c>
    </row>
    <row r="240" spans="1:10" x14ac:dyDescent="0.25">
      <c r="A240" s="10">
        <v>44133.847222222219</v>
      </c>
      <c r="B240" s="11" t="s">
        <v>2</v>
      </c>
      <c r="C240" s="11" t="s">
        <v>18</v>
      </c>
      <c r="D240" s="16" t="str">
        <f>HYPERLINK("https://freddywills.com/pick/7533/thursday-night-football-falcons-vs-panthers-71-51-55-4-last-122-3-nfl-picks-guaranteed.html", "Falcons +110 3% play ")</f>
        <v xml:space="preserve">Falcons +110 3% play </v>
      </c>
      <c r="E240" s="11">
        <v>3</v>
      </c>
      <c r="F240" s="11">
        <v>1.1000000000000001</v>
      </c>
      <c r="G240" s="11" t="s">
        <v>4</v>
      </c>
      <c r="H240" s="13">
        <v>3300</v>
      </c>
      <c r="I240" s="14">
        <f t="shared" si="7"/>
        <v>0.15005740000000006</v>
      </c>
      <c r="J240" s="13">
        <f t="shared" si="8"/>
        <v>312462.53999999975</v>
      </c>
    </row>
    <row r="241" spans="1:10" x14ac:dyDescent="0.25">
      <c r="A241" s="10">
        <v>44133.8125</v>
      </c>
      <c r="B241" s="11" t="s">
        <v>8</v>
      </c>
      <c r="C241" s="11" t="s">
        <v>5</v>
      </c>
      <c r="D241" s="16" t="str">
        <f>HYPERLINK("https://freddywills.com/pick/7534/3-play-georgiasouthern-vs-southalabama-guaranteed-or-back-121-88-83-670-l-209-all-sports.html", "Georgia Southern -3 -115 - buy hook if you don't have -3")</f>
        <v>Georgia Southern -3 -115 - buy hook if you don't have -3</v>
      </c>
      <c r="E241" s="11">
        <v>3</v>
      </c>
      <c r="F241" s="11">
        <v>-1.1499999999999999</v>
      </c>
      <c r="G241" s="11" t="s">
        <v>4</v>
      </c>
      <c r="H241" s="13">
        <v>2608.6999999999998</v>
      </c>
      <c r="I241" s="14">
        <f t="shared" si="7"/>
        <v>0.11705740000000008</v>
      </c>
      <c r="J241" s="13">
        <f t="shared" si="8"/>
        <v>309162.53999999975</v>
      </c>
    </row>
    <row r="242" spans="1:10" x14ac:dyDescent="0.25">
      <c r="A242" s="10">
        <v>44129.847222222219</v>
      </c>
      <c r="B242" s="11" t="s">
        <v>2</v>
      </c>
      <c r="C242" s="11" t="s">
        <v>5</v>
      </c>
      <c r="D242" s="16" t="str">
        <f>HYPERLINK("https://freddywills.com/pick/7528/69-51-49-403-l-120-nfl-3-bankroll-3-5-play-seahawks-vs-cardinals.html", "Cardinals +3.5 -115 3.5% play")</f>
        <v>Cardinals +3.5 -115 3.5% play</v>
      </c>
      <c r="E242" s="11">
        <v>3.5</v>
      </c>
      <c r="F242" s="11">
        <v>-1.1499999999999999</v>
      </c>
      <c r="G242" s="11" t="s">
        <v>4</v>
      </c>
      <c r="H242" s="13">
        <v>3043.48</v>
      </c>
      <c r="I242" s="14">
        <f t="shared" si="7"/>
        <v>9.0970400000000076E-2</v>
      </c>
      <c r="J242" s="13">
        <f t="shared" si="8"/>
        <v>306553.83999999973</v>
      </c>
    </row>
    <row r="243" spans="1:10" x14ac:dyDescent="0.25">
      <c r="A243" s="10">
        <v>44129.670138888891</v>
      </c>
      <c r="B243" s="11" t="s">
        <v>2</v>
      </c>
      <c r="C243" s="11" t="s">
        <v>5</v>
      </c>
      <c r="D243" s="16" t="str">
        <f>HYPERLINK("https://freddywills.com/pick/7530/2-2-play-47-38-last-85-nfl-picks-in-october-22-3-roi-raiders-vs-bucs.html", "Raiders +5 2.2% play ")</f>
        <v xml:space="preserve">Raiders +5 2.2% play </v>
      </c>
      <c r="E243" s="11">
        <v>2.2000000000000002</v>
      </c>
      <c r="F243" s="11">
        <v>-1.1000000000000001</v>
      </c>
      <c r="G243" s="11" t="s">
        <v>6</v>
      </c>
      <c r="H243" s="13">
        <v>-2200</v>
      </c>
      <c r="I243" s="14">
        <f t="shared" si="7"/>
        <v>6.0535600000000071E-2</v>
      </c>
      <c r="J243" s="13">
        <f t="shared" si="8"/>
        <v>303510.35999999975</v>
      </c>
    </row>
    <row r="244" spans="1:10" x14ac:dyDescent="0.25">
      <c r="A244" s="10">
        <v>44129.541666666664</v>
      </c>
      <c r="B244" s="11" t="s">
        <v>2</v>
      </c>
      <c r="C244" s="11" t="s">
        <v>10</v>
      </c>
      <c r="D244" s="16" t="str">
        <f>HYPERLINK("https://freddywills.com/pick/7526/nfl-teaser-guaranteed-or-back-18-12-14-600-l-30-all-sports-teasers.html", "Steelers +7.5 / Lions +7.5 3.3% play ")</f>
        <v xml:space="preserve">Steelers +7.5 / Lions +7.5 3.3% play </v>
      </c>
      <c r="E244" s="11">
        <v>3.3</v>
      </c>
      <c r="F244" s="11">
        <v>-1.1000000000000001</v>
      </c>
      <c r="G244" s="11" t="s">
        <v>4</v>
      </c>
      <c r="H244" s="13">
        <v>3000</v>
      </c>
      <c r="I244" s="14">
        <f t="shared" si="7"/>
        <v>8.253560000000007E-2</v>
      </c>
      <c r="J244" s="13">
        <f t="shared" si="8"/>
        <v>305710.35999999975</v>
      </c>
    </row>
    <row r="245" spans="1:10" x14ac:dyDescent="0.25">
      <c r="A245" s="10">
        <v>44129.541666666664</v>
      </c>
      <c r="B245" s="11" t="s">
        <v>2</v>
      </c>
      <c r="C245" s="11" t="s">
        <v>5</v>
      </c>
      <c r="D245" s="16" t="str">
        <f>HYPERLINK("https://freddywills.com/pick/7527/nfl-free-pick-30-18-last-48-free-picks-jets-vs-bills.html", "Jets +10.5 1.1% Free Play ")</f>
        <v xml:space="preserve">Jets +10.5 1.1% Free Play </v>
      </c>
      <c r="E245" s="11">
        <v>1.1000000000000001</v>
      </c>
      <c r="F245" s="11">
        <v>-1.1000000000000001</v>
      </c>
      <c r="G245" s="11" t="s">
        <v>4</v>
      </c>
      <c r="H245" s="13">
        <v>1000</v>
      </c>
      <c r="I245" s="14">
        <f t="shared" si="7"/>
        <v>5.2535600000000071E-2</v>
      </c>
      <c r="J245" s="13">
        <f t="shared" si="8"/>
        <v>302710.35999999975</v>
      </c>
    </row>
    <row r="246" spans="1:10" x14ac:dyDescent="0.25">
      <c r="A246" s="10">
        <v>44129.541666666664</v>
      </c>
      <c r="B246" s="11" t="s">
        <v>2</v>
      </c>
      <c r="C246" s="11" t="s">
        <v>5</v>
      </c>
      <c r="D246" s="16" t="str">
        <f>HYPERLINK("https://freddywills.com/pick/7529/5-5-nfl-pod-bengals-vs-browns-nfl-pick-guaranteed-or-back.html", "Browns -3 -125 4% play / Browns -2.5 1st half 1.5% ")</f>
        <v xml:space="preserve">Browns -3 -125 4% play / Browns -2.5 1st half 1.5% </v>
      </c>
      <c r="E246" s="11">
        <v>4</v>
      </c>
      <c r="F246" s="11">
        <v>-1.25</v>
      </c>
      <c r="G246" s="11" t="s">
        <v>9</v>
      </c>
      <c r="H246" s="13">
        <v>0</v>
      </c>
      <c r="I246" s="14">
        <f t="shared" si="7"/>
        <v>4.2535600000000069E-2</v>
      </c>
      <c r="J246" s="13">
        <f t="shared" si="8"/>
        <v>301710.35999999975</v>
      </c>
    </row>
    <row r="247" spans="1:10" x14ac:dyDescent="0.25">
      <c r="A247" s="10">
        <v>44129.541666666664</v>
      </c>
      <c r="B247" s="11" t="s">
        <v>2</v>
      </c>
      <c r="C247" s="11" t="s">
        <v>5</v>
      </c>
      <c r="D247" s="16" t="str">
        <f>HYPERLINK("https://freddywills.com/pick/7531/1-5-first-half-play-browns-vs-bengals-guaranteed-or-back.html", "Browns -2.51H 1st half 1.5% play ")</f>
        <v xml:space="preserve">Browns -2.51H 1st half 1.5% play </v>
      </c>
      <c r="E247" s="11">
        <v>1.5</v>
      </c>
      <c r="F247" s="11">
        <v>-1.1499999999999999</v>
      </c>
      <c r="G247" s="11" t="s">
        <v>6</v>
      </c>
      <c r="H247" s="13">
        <v>-1500</v>
      </c>
      <c r="I247" s="14">
        <f t="shared" si="7"/>
        <v>4.2535600000000069E-2</v>
      </c>
      <c r="J247" s="13">
        <f t="shared" si="8"/>
        <v>301710.35999999975</v>
      </c>
    </row>
    <row r="248" spans="1:10" x14ac:dyDescent="0.25">
      <c r="A248" s="10">
        <v>44128.8125</v>
      </c>
      <c r="B248" s="11" t="s">
        <v>8</v>
      </c>
      <c r="C248" s="11" t="s">
        <v>5</v>
      </c>
      <c r="D248" s="16" t="str">
        <f>HYPERLINK("https://freddywills.com/pick/7524/michigan-vs-minnesota-battle-for-the-little-brown-jug-guaranteed-or-back.html", "Michigan -3 -115 2.5% play ")</f>
        <v xml:space="preserve">Michigan -3 -115 2.5% play </v>
      </c>
      <c r="E248" s="11">
        <v>2.5</v>
      </c>
      <c r="F248" s="11">
        <v>-1.1499999999999999</v>
      </c>
      <c r="G248" s="11" t="s">
        <v>4</v>
      </c>
      <c r="H248" s="13">
        <v>2173.91</v>
      </c>
      <c r="I248" s="14">
        <f t="shared" si="7"/>
        <v>5.7535600000000069E-2</v>
      </c>
      <c r="J248" s="13">
        <f t="shared" si="8"/>
        <v>303210.35999999975</v>
      </c>
    </row>
    <row r="249" spans="1:10" x14ac:dyDescent="0.25">
      <c r="A249" s="10">
        <v>44128.729166666664</v>
      </c>
      <c r="B249" s="11" t="s">
        <v>8</v>
      </c>
      <c r="C249" s="11" t="s">
        <v>18</v>
      </c>
      <c r="D249" s="16" t="str">
        <f>HYPERLINK("https://freddywills.com/pick/7525/money-line-dog-of-the-week-42-56-46-790-l-98-ncaaf-money-line-dog-plays.html", "Texas Tech +130 3% play ")</f>
        <v xml:space="preserve">Texas Tech +130 3% play </v>
      </c>
      <c r="E249" s="11">
        <v>3</v>
      </c>
      <c r="F249" s="11">
        <v>1.3</v>
      </c>
      <c r="G249" s="11" t="s">
        <v>4</v>
      </c>
      <c r="H249" s="13">
        <v>3900</v>
      </c>
      <c r="I249" s="14">
        <f t="shared" si="7"/>
        <v>3.5796500000000071E-2</v>
      </c>
      <c r="J249" s="13">
        <f t="shared" si="8"/>
        <v>301036.44999999978</v>
      </c>
    </row>
    <row r="250" spans="1:10" x14ac:dyDescent="0.25">
      <c r="A250" s="10">
        <v>44128.646527777775</v>
      </c>
      <c r="B250" s="11" t="s">
        <v>8</v>
      </c>
      <c r="C250" s="11" t="s">
        <v>5</v>
      </c>
      <c r="D250" s="16" t="str">
        <f>HYPERLINK("https://freddywills.com/pick/7522/iowastate-vs-oklahomast-guaranteed-or-back-4-4-play-197-151-118-220-l-348-ncaaf-4-bankro.html", "Iowa State +3 4.4% play ")</f>
        <v xml:space="preserve">Iowa State +3 4.4% play </v>
      </c>
      <c r="E250" s="11">
        <v>3.3</v>
      </c>
      <c r="F250" s="11">
        <v>-1.1000000000000001</v>
      </c>
      <c r="G250" s="11" t="s">
        <v>9</v>
      </c>
      <c r="H250" s="13">
        <v>0</v>
      </c>
      <c r="I250" s="14">
        <f t="shared" si="7"/>
        <v>-3.2034999999999286E-3</v>
      </c>
      <c r="J250" s="13">
        <f t="shared" si="8"/>
        <v>297136.44999999978</v>
      </c>
    </row>
    <row r="251" spans="1:10" x14ac:dyDescent="0.25">
      <c r="A251" s="10">
        <v>44128.645833333336</v>
      </c>
      <c r="B251" s="11" t="s">
        <v>8</v>
      </c>
      <c r="C251" s="11" t="s">
        <v>10</v>
      </c>
      <c r="D251" s="16" t="str">
        <f>HYPERLINK("https://freddywills.com/pick/7523/3-3-college-football-teaser-of-the-week-48-32-50-8-l80-ncaaf-teasers.html", "Pitt +16 / Cincinnati +8.5 3.3% teaser")</f>
        <v>Pitt +16 / Cincinnati +8.5 3.3% teaser</v>
      </c>
      <c r="E251" s="11">
        <v>3.3</v>
      </c>
      <c r="F251" s="11">
        <v>-1.1000000000000001</v>
      </c>
      <c r="G251" s="11" t="s">
        <v>6</v>
      </c>
      <c r="H251" s="13">
        <v>-3300</v>
      </c>
      <c r="I251" s="14">
        <f t="shared" si="7"/>
        <v>-3.2034999999999286E-3</v>
      </c>
      <c r="J251" s="13">
        <f t="shared" si="8"/>
        <v>297136.44999999978</v>
      </c>
    </row>
    <row r="252" spans="1:10" x14ac:dyDescent="0.25">
      <c r="A252" s="10">
        <v>44128.5</v>
      </c>
      <c r="B252" s="11" t="s">
        <v>8</v>
      </c>
      <c r="C252" s="11" t="s">
        <v>5</v>
      </c>
      <c r="D252" s="16" t="str">
        <f>HYPERLINK("https://freddywills.com/pick/7520/sec-early-bird-special-saturday-auburn-vs-olemiss-guaranteed-or-bakc.html", "Auburn -3.5 2.2% play ")</f>
        <v xml:space="preserve">Auburn -3.5 2.2% play </v>
      </c>
      <c r="E252" s="11">
        <v>2.2000000000000002</v>
      </c>
      <c r="F252" s="11">
        <v>-1.1000000000000001</v>
      </c>
      <c r="G252" s="11" t="s">
        <v>4</v>
      </c>
      <c r="H252" s="13">
        <v>2000</v>
      </c>
      <c r="I252" s="14">
        <f t="shared" si="7"/>
        <v>2.9796500000000073E-2</v>
      </c>
      <c r="J252" s="13">
        <f t="shared" si="8"/>
        <v>300436.44999999978</v>
      </c>
    </row>
    <row r="253" spans="1:10" x14ac:dyDescent="0.25">
      <c r="A253" s="10">
        <v>44128.5</v>
      </c>
      <c r="B253" s="11" t="s">
        <v>8</v>
      </c>
      <c r="C253" s="11" t="s">
        <v>5</v>
      </c>
      <c r="D253" s="16" t="str">
        <f>HYPERLINK("https://freddywills.com/pick/7521/collegefootball-free-pick-temple-vs-memphis-75-55-21-574-l-130-all-sports-free-picks.html", "Temple +14 -120 buy 1/2 1.5% play ")</f>
        <v xml:space="preserve">Temple +14 -120 buy 1/2 1.5% play </v>
      </c>
      <c r="E253" s="11">
        <v>1.5</v>
      </c>
      <c r="F253" s="11">
        <v>-1.2</v>
      </c>
      <c r="G253" s="11" t="s">
        <v>4</v>
      </c>
      <c r="H253" s="13">
        <v>1250</v>
      </c>
      <c r="I253" s="14">
        <f t="shared" si="7"/>
        <v>9.7965000000000725E-3</v>
      </c>
      <c r="J253" s="13">
        <f t="shared" si="8"/>
        <v>298436.44999999978</v>
      </c>
    </row>
    <row r="254" spans="1:10" x14ac:dyDescent="0.25">
      <c r="A254" s="10">
        <v>44127.833333333336</v>
      </c>
      <c r="B254" s="11" t="s">
        <v>8</v>
      </c>
      <c r="C254" s="11" t="s">
        <v>5</v>
      </c>
      <c r="D254" s="16" t="str">
        <f>HYPERLINK("https://freddywills.com/pick/7519/friday-night-lights-3-3-play-guaranteed-or-back-117-87-74-027-l-204-all-sports-3-bankroll.html", "UL Lafayette -3 3.3% play ")</f>
        <v xml:space="preserve">UL Lafayette -3 3.3% play </v>
      </c>
      <c r="E254" s="11">
        <v>3.3</v>
      </c>
      <c r="F254" s="11">
        <v>-1.1000000000000001</v>
      </c>
      <c r="G254" s="11" t="s">
        <v>4</v>
      </c>
      <c r="H254" s="13">
        <v>3000</v>
      </c>
      <c r="I254" s="14">
        <f t="shared" si="7"/>
        <v>-2.7034999999999282E-3</v>
      </c>
      <c r="J254" s="13">
        <f t="shared" si="8"/>
        <v>297186.44999999978</v>
      </c>
    </row>
    <row r="255" spans="1:10" x14ac:dyDescent="0.25">
      <c r="A255" s="10">
        <v>44123.847222222219</v>
      </c>
      <c r="B255" s="11" t="s">
        <v>2</v>
      </c>
      <c r="C255" s="11" t="s">
        <v>18</v>
      </c>
      <c r="D255" s="16" t="str">
        <f>HYPERLINK("https://freddywills.com/pick/7517/3-nfl-monday-night-football-play-cowboys-vs-cardinals-3-0-yesterday-66-50-43-603-l-11.html", "Cowboys -115 3% Play ")</f>
        <v xml:space="preserve">Cowboys -115 3% Play </v>
      </c>
      <c r="E255" s="11">
        <v>3</v>
      </c>
      <c r="F255" s="11">
        <v>-115</v>
      </c>
      <c r="G255" s="11" t="s">
        <v>6</v>
      </c>
      <c r="H255" s="13">
        <v>-3000</v>
      </c>
      <c r="I255" s="14">
        <f t="shared" si="7"/>
        <v>-3.2703499999999927E-2</v>
      </c>
      <c r="J255" s="13">
        <f t="shared" si="8"/>
        <v>294186.44999999978</v>
      </c>
    </row>
    <row r="256" spans="1:10" x14ac:dyDescent="0.25">
      <c r="A256" s="10">
        <v>44123.708333333336</v>
      </c>
      <c r="B256" s="11" t="s">
        <v>2</v>
      </c>
      <c r="C256" s="11" t="s">
        <v>5</v>
      </c>
      <c r="D256" s="16" t="str">
        <f>HYPERLINK("https://freddywills.com/pick/7518/bills-vs-chiefs-guaranteed-or-back.html", "Bills +5.5 2.2% play ")</f>
        <v xml:space="preserve">Bills +5.5 2.2% play </v>
      </c>
      <c r="E256" s="11">
        <v>2.2000000000000002</v>
      </c>
      <c r="F256" s="11">
        <v>-1.1000000000000001</v>
      </c>
      <c r="G256" s="11" t="s">
        <v>6</v>
      </c>
      <c r="H256" s="13">
        <v>-2200</v>
      </c>
      <c r="I256" s="14">
        <f t="shared" si="7"/>
        <v>-2.7034999999999282E-3</v>
      </c>
      <c r="J256" s="13">
        <f t="shared" si="8"/>
        <v>297186.44999999978</v>
      </c>
    </row>
    <row r="257" spans="1:10" x14ac:dyDescent="0.25">
      <c r="A257" s="10">
        <v>44122.847916666666</v>
      </c>
      <c r="B257" s="11" t="s">
        <v>2</v>
      </c>
      <c r="C257" s="11" t="s">
        <v>5</v>
      </c>
      <c r="D257" s="16" t="str">
        <f>HYPERLINK("https://freddywills.com/pick/7511/sunday-night-nfl-action-guaranteed-or-back-66-50-43-603-l-116-nfl-3-bankroll.html", "49ERS +3 3.3% PLAY ")</f>
        <v xml:space="preserve">49ERS +3 3.3% PLAY </v>
      </c>
      <c r="E257" s="11">
        <v>3.3</v>
      </c>
      <c r="F257" s="11">
        <v>-1.1000000000000001</v>
      </c>
      <c r="G257" s="11" t="s">
        <v>4</v>
      </c>
      <c r="H257" s="13">
        <v>3000</v>
      </c>
      <c r="I257" s="14">
        <f t="shared" si="7"/>
        <v>1.9296500000000071E-2</v>
      </c>
      <c r="J257" s="13">
        <f t="shared" si="8"/>
        <v>299386.44999999978</v>
      </c>
    </row>
    <row r="258" spans="1:10" x14ac:dyDescent="0.25">
      <c r="A258" s="10">
        <v>44122.684027777781</v>
      </c>
      <c r="B258" s="11" t="s">
        <v>2</v>
      </c>
      <c r="C258" s="11" t="s">
        <v>18</v>
      </c>
      <c r="D258" s="16" t="str">
        <f>HYPERLINK("https://freddywills.com/pick/7516/packers-vs-bucs-2-5-play-guaranteed-or-back.html", "Tampa +105 2.5% play ")</f>
        <v xml:space="preserve">Tampa +105 2.5% play </v>
      </c>
      <c r="E258" s="11">
        <v>2.5</v>
      </c>
      <c r="F258" s="11">
        <v>-1.1000000000000001</v>
      </c>
      <c r="G258" s="11" t="s">
        <v>4</v>
      </c>
      <c r="H258" s="13">
        <v>2272.73</v>
      </c>
      <c r="I258" s="14">
        <f t="shared" si="7"/>
        <v>-1.0703499999999928E-2</v>
      </c>
      <c r="J258" s="13">
        <f t="shared" si="8"/>
        <v>296386.44999999978</v>
      </c>
    </row>
    <row r="259" spans="1:10" x14ac:dyDescent="0.25">
      <c r="A259" s="10">
        <v>44122.541666666664</v>
      </c>
      <c r="B259" s="11" t="s">
        <v>2</v>
      </c>
      <c r="C259" s="11" t="s">
        <v>5</v>
      </c>
      <c r="D259" s="16" t="str">
        <f>HYPERLINK("https://freddywills.com/pick/7513/5-5-max-nfl-pod-guaranteed-or-back-61-32-145-622-l-93-max-rated-nfl-picks.html", "Texans +3.5 5.5% NFL POD ")</f>
        <v xml:space="preserve">Texans +3.5 5.5% NFL POD </v>
      </c>
      <c r="E259" s="11">
        <v>5.5</v>
      </c>
      <c r="F259" s="11">
        <v>-1.1000000000000001</v>
      </c>
      <c r="G259" s="11" t="s">
        <v>6</v>
      </c>
      <c r="H259" s="13">
        <v>-5500</v>
      </c>
      <c r="I259" s="14">
        <f t="shared" si="7"/>
        <v>-3.3430799999999927E-2</v>
      </c>
      <c r="J259" s="13">
        <f t="shared" si="8"/>
        <v>294113.7199999998</v>
      </c>
    </row>
    <row r="260" spans="1:10" x14ac:dyDescent="0.25">
      <c r="A260" s="10">
        <v>44122.541666666664</v>
      </c>
      <c r="B260" s="11" t="s">
        <v>2</v>
      </c>
      <c r="C260" s="11" t="s">
        <v>5</v>
      </c>
      <c r="D260" s="16" t="str">
        <f>HYPERLINK("https://freddywills.com/pick/7514/3-5-play-112-84-68-910-l-196-all-sports-3-bankroll-plays-guaranteed-or-back.html", "Steelers -3 -125 3.5% play ")</f>
        <v xml:space="preserve">Steelers -3 -125 3.5% play </v>
      </c>
      <c r="E260" s="11">
        <v>3.5</v>
      </c>
      <c r="F260" s="11">
        <v>-1.25</v>
      </c>
      <c r="G260" s="11" t="s">
        <v>4</v>
      </c>
      <c r="H260" s="13">
        <v>2800</v>
      </c>
      <c r="I260" s="14">
        <f t="shared" si="7"/>
        <v>2.156920000000007E-2</v>
      </c>
      <c r="J260" s="13">
        <f t="shared" si="8"/>
        <v>299613.7199999998</v>
      </c>
    </row>
    <row r="261" spans="1:10" x14ac:dyDescent="0.25">
      <c r="A261" s="10">
        <v>44122.541666666664</v>
      </c>
      <c r="B261" s="11" t="s">
        <v>2</v>
      </c>
      <c r="C261" s="11" t="s">
        <v>10</v>
      </c>
      <c r="D261" s="16" t="str">
        <f>HYPERLINK("https://freddywills.com/pick/7515/nfl-teaser-of-the-week-guaranteed-or-back-102-73-73-521-l-175-all-sports-teasers.html", "Colts -1.5 / Bears +7.5 3.3% Teaser")</f>
        <v>Colts -1.5 / Bears +7.5 3.3% Teaser</v>
      </c>
      <c r="E261" s="11">
        <v>3.3</v>
      </c>
      <c r="F261" s="11">
        <v>-1.1000000000000001</v>
      </c>
      <c r="G261" s="11" t="s">
        <v>4</v>
      </c>
      <c r="H261" s="13">
        <v>3000</v>
      </c>
      <c r="I261" s="14">
        <f t="shared" si="7"/>
        <v>-6.430799999999931E-3</v>
      </c>
      <c r="J261" s="13">
        <f t="shared" si="8"/>
        <v>296813.7199999998</v>
      </c>
    </row>
    <row r="262" spans="1:10" x14ac:dyDescent="0.25">
      <c r="A262" s="10">
        <v>44121.833333333336</v>
      </c>
      <c r="B262" s="11" t="s">
        <v>8</v>
      </c>
      <c r="C262" s="11" t="s">
        <v>5</v>
      </c>
      <c r="D262" s="16" t="str">
        <f>HYPERLINK("https://freddywills.com/pick/7506/2-2-play-vatech-vs-bostoncollege-guaranteed-or-back.html", "VA Tech -12 2.2% play ")</f>
        <v xml:space="preserve">VA Tech -12 2.2% play </v>
      </c>
      <c r="E262" s="11">
        <v>2.2000000000000002</v>
      </c>
      <c r="F262" s="11">
        <v>-1.1000000000000001</v>
      </c>
      <c r="G262" s="11" t="s">
        <v>4</v>
      </c>
      <c r="H262" s="13">
        <v>2000</v>
      </c>
      <c r="I262" s="14">
        <f t="shared" si="7"/>
        <v>-3.643079999999993E-2</v>
      </c>
      <c r="J262" s="13">
        <f t="shared" si="8"/>
        <v>293813.7199999998</v>
      </c>
    </row>
    <row r="263" spans="1:10" x14ac:dyDescent="0.25">
      <c r="A263" s="10">
        <v>44121.833333333336</v>
      </c>
      <c r="B263" s="11" t="s">
        <v>8</v>
      </c>
      <c r="C263" s="11" t="s">
        <v>5</v>
      </c>
      <c r="D263" s="16" t="str">
        <f>HYPERLINK("https://freddywills.com/pick/7510/georgia-vs-alabama-sec-game-of-the-week-guaranteed-or-back.html", "Georgia +5.5 3.3% play ")</f>
        <v xml:space="preserve">Georgia +5.5 3.3% play </v>
      </c>
      <c r="E263" s="11">
        <v>3.3</v>
      </c>
      <c r="F263" s="11">
        <v>-1.1000000000000001</v>
      </c>
      <c r="G263" s="11" t="s">
        <v>6</v>
      </c>
      <c r="H263" s="13">
        <v>-3300</v>
      </c>
      <c r="I263" s="14">
        <f t="shared" si="7"/>
        <v>-5.6430799999999934E-2</v>
      </c>
      <c r="J263" s="13">
        <f t="shared" si="8"/>
        <v>291813.7199999998</v>
      </c>
    </row>
    <row r="264" spans="1:10" x14ac:dyDescent="0.25">
      <c r="A264" s="10">
        <v>44121.666666666664</v>
      </c>
      <c r="B264" s="11" t="s">
        <v>8</v>
      </c>
      <c r="C264" s="11" t="s">
        <v>5</v>
      </c>
      <c r="D264" s="16" t="str">
        <f>HYPERLINK("https://freddywills.com/pick/7508/rare-5-5-ncaaf-pod-guaranteed-or-back-244-193-167-516-l-437-max-rated-all-sports-picks.html", "Miss State +5 5.5% NCAAF POD")</f>
        <v>Miss State +5 5.5% NCAAF POD</v>
      </c>
      <c r="E264" s="11">
        <v>5.5</v>
      </c>
      <c r="F264" s="11">
        <v>-1.1000000000000001</v>
      </c>
      <c r="G264" s="11" t="s">
        <v>6</v>
      </c>
      <c r="H264" s="13">
        <v>-5500</v>
      </c>
      <c r="I264" s="14">
        <f t="shared" si="7"/>
        <v>-2.3430799999999932E-2</v>
      </c>
      <c r="J264" s="13">
        <f t="shared" si="8"/>
        <v>295113.7199999998</v>
      </c>
    </row>
    <row r="265" spans="1:10" x14ac:dyDescent="0.25">
      <c r="A265" s="10">
        <v>44121.645833333336</v>
      </c>
      <c r="B265" s="11" t="s">
        <v>8</v>
      </c>
      <c r="C265" s="11" t="s">
        <v>5</v>
      </c>
      <c r="D265" s="16" t="str">
        <f>HYPERLINK("https://freddywills.com/pick/7507/the-american-athletic-conference-game-of-the-week-centralfl-vs-memphis-on-abc-guaranteed-or.html", "UCF -3 2.2% PLAY ")</f>
        <v xml:space="preserve">UCF -3 2.2% PLAY </v>
      </c>
      <c r="E265" s="11">
        <v>2.2000000000000002</v>
      </c>
      <c r="F265" s="11">
        <v>-1.1000000000000001</v>
      </c>
      <c r="G265" s="11" t="s">
        <v>6</v>
      </c>
      <c r="H265" s="13">
        <v>-2200</v>
      </c>
      <c r="I265" s="14">
        <f t="shared" si="7"/>
        <v>3.1569200000000068E-2</v>
      </c>
      <c r="J265" s="13">
        <f t="shared" si="8"/>
        <v>300613.7199999998</v>
      </c>
    </row>
    <row r="266" spans="1:10" x14ac:dyDescent="0.25">
      <c r="A266" s="10">
        <v>44121.604166666664</v>
      </c>
      <c r="B266" s="11" t="s">
        <v>8</v>
      </c>
      <c r="C266" s="11" t="s">
        <v>5</v>
      </c>
      <c r="D266" s="16" t="str">
        <f>HYPERLINK("https://freddywills.com/pick/7509/louisville-vs-notredame-guaranteed-or-back-3-3-play-334-273-116-059-l-607-ncaaf-3-ban.html", "Louisville +17 3.3% play ")</f>
        <v xml:space="preserve">Louisville +17 3.3% play </v>
      </c>
      <c r="E266" s="11">
        <v>3.3</v>
      </c>
      <c r="F266" s="11">
        <v>-1.1000000000000001</v>
      </c>
      <c r="G266" s="11" t="s">
        <v>4</v>
      </c>
      <c r="H266" s="13">
        <v>3000</v>
      </c>
      <c r="I266" s="14">
        <f t="shared" si="7"/>
        <v>5.3569200000000067E-2</v>
      </c>
      <c r="J266" s="13">
        <f t="shared" si="8"/>
        <v>302813.7199999998</v>
      </c>
    </row>
    <row r="267" spans="1:10" x14ac:dyDescent="0.25">
      <c r="A267" s="10">
        <v>44121.5</v>
      </c>
      <c r="B267" s="11" t="s">
        <v>8</v>
      </c>
      <c r="C267" s="11" t="s">
        <v>5</v>
      </c>
      <c r="D267" s="16" t="str">
        <f>HYPERLINK("https://freddywills.com/pick/7504/4-ncaaf-play-pitt-vs-miami-guaranteed-or-back-197-151-118-220-l-348-ncaaf-4-bankroll.html", "Pitt +14 -120 3.5% Play /")</f>
        <v>Pitt +14 -120 3.5% Play /</v>
      </c>
      <c r="E267" s="11">
        <v>3.5</v>
      </c>
      <c r="F267" s="11">
        <v>-1.2</v>
      </c>
      <c r="G267" s="11" t="s">
        <v>4</v>
      </c>
      <c r="H267" s="13">
        <v>2917</v>
      </c>
      <c r="I267" s="14">
        <f t="shared" si="7"/>
        <v>2.3569200000000068E-2</v>
      </c>
      <c r="J267" s="13">
        <f t="shared" si="8"/>
        <v>299813.7199999998</v>
      </c>
    </row>
    <row r="268" spans="1:10" x14ac:dyDescent="0.25">
      <c r="A268" s="10">
        <v>44121.5</v>
      </c>
      <c r="B268" s="11" t="s">
        <v>8</v>
      </c>
      <c r="C268" s="11" t="s">
        <v>7</v>
      </c>
      <c r="D268" s="16" t="str">
        <f>HYPERLINK("https://freddywills.com/pick/7505/college-football-free-pick-of-the-week-southcarolina-vs-auburn.html", "Auburn / South Carolina Over 51.5 1.1% Play ")</f>
        <v xml:space="preserve">Auburn / South Carolina Over 51.5 1.1% Play </v>
      </c>
      <c r="E268" s="11">
        <v>1.1000000000000001</v>
      </c>
      <c r="F268" s="11">
        <v>-1.1000000000000001</v>
      </c>
      <c r="G268" s="11" t="s">
        <v>4</v>
      </c>
      <c r="H268" s="13">
        <v>1000</v>
      </c>
      <c r="I268" s="14">
        <f t="shared" si="7"/>
        <v>-5.6007999999999353E-3</v>
      </c>
      <c r="J268" s="13">
        <f t="shared" si="8"/>
        <v>296896.7199999998</v>
      </c>
    </row>
    <row r="269" spans="1:10" x14ac:dyDescent="0.25">
      <c r="A269" s="10">
        <v>44121.5</v>
      </c>
      <c r="B269" s="11" t="s">
        <v>8</v>
      </c>
      <c r="C269" s="11" t="s">
        <v>18</v>
      </c>
      <c r="D269" s="16" t="str">
        <f>HYPERLINK("https://freddywills.com/pick/7512/pitt-bonus-play.html", "Pitt +395 0.5% play")</f>
        <v>Pitt +395 0.5% play</v>
      </c>
      <c r="E269" s="11">
        <v>0.5</v>
      </c>
      <c r="F269" s="11">
        <v>3.95</v>
      </c>
      <c r="G269" s="11" t="s">
        <v>6</v>
      </c>
      <c r="H269" s="13">
        <v>-500</v>
      </c>
      <c r="I269" s="14">
        <f t="shared" si="7"/>
        <v>-1.5600799999999936E-2</v>
      </c>
      <c r="J269" s="13">
        <f t="shared" si="8"/>
        <v>295896.7199999998</v>
      </c>
    </row>
    <row r="270" spans="1:10" x14ac:dyDescent="0.25">
      <c r="A270" s="10">
        <v>44120.895833333336</v>
      </c>
      <c r="B270" s="11" t="s">
        <v>8</v>
      </c>
      <c r="C270" s="11" t="s">
        <v>5</v>
      </c>
      <c r="D270" s="16" t="str">
        <f>HYPERLINK("https://freddywills.com/pick/7503/friday-night-lights-houston-vs-byu-guaranteed-or-back-70-51-45-993-l-121-ncaaf-3-ban.html", "Houston +5 3.3% play ")</f>
        <v xml:space="preserve">Houston +5 3.3% play </v>
      </c>
      <c r="E270" s="11">
        <v>3.3</v>
      </c>
      <c r="F270" s="11">
        <v>-1.1000000000000001</v>
      </c>
      <c r="G270" s="11" t="s">
        <v>6</v>
      </c>
      <c r="H270" s="13">
        <v>-3300</v>
      </c>
      <c r="I270" s="14">
        <f t="shared" si="7"/>
        <v>-1.0600799999999935E-2</v>
      </c>
      <c r="J270" s="13">
        <f t="shared" si="8"/>
        <v>296396.7199999998</v>
      </c>
    </row>
    <row r="271" spans="1:10" x14ac:dyDescent="0.25">
      <c r="A271" s="10">
        <v>44117.791666666664</v>
      </c>
      <c r="B271" s="11" t="s">
        <v>2</v>
      </c>
      <c r="C271" s="11" t="s">
        <v>5</v>
      </c>
      <c r="D271" s="16" t="str">
        <f>HYPERLINK("https://freddywills.com/pick/7502/tuesday-night-nfl-action-guaranteed-or-back-bills-vs-titans.html", "Titans +3.5 2.2% play ")</f>
        <v xml:space="preserve">Titans +3.5 2.2% play </v>
      </c>
      <c r="E271" s="11">
        <v>2.2000000000000002</v>
      </c>
      <c r="F271" s="11">
        <v>-1.1000000000000001</v>
      </c>
      <c r="G271" s="11" t="s">
        <v>4</v>
      </c>
      <c r="H271" s="13">
        <v>2000</v>
      </c>
      <c r="I271" s="14">
        <f t="shared" si="7"/>
        <v>2.2399200000000067E-2</v>
      </c>
      <c r="J271" s="13">
        <f t="shared" si="8"/>
        <v>299696.7199999998</v>
      </c>
    </row>
    <row r="272" spans="1:10" x14ac:dyDescent="0.25">
      <c r="A272" s="10">
        <v>44115.684027777781</v>
      </c>
      <c r="B272" s="11" t="s">
        <v>2</v>
      </c>
      <c r="C272" s="11" t="s">
        <v>7</v>
      </c>
      <c r="D272" s="16" t="str">
        <f>HYPERLINK("https://freddywills.com/pick/7498/giants-vs-cowboys-total-play-18-13-l31-nfl-totals-guaranteed-or-back.html", "Giants/Cowboys Under 53 2.2% play ")</f>
        <v xml:space="preserve">Giants/Cowboys Under 53 2.2% play </v>
      </c>
      <c r="E272" s="11">
        <v>2.2000000000000002</v>
      </c>
      <c r="F272" s="11">
        <v>-1.1000000000000001</v>
      </c>
      <c r="G272" s="11" t="s">
        <v>6</v>
      </c>
      <c r="H272" s="13">
        <v>-2200</v>
      </c>
      <c r="I272" s="14">
        <f t="shared" si="7"/>
        <v>2.3992000000000666E-3</v>
      </c>
      <c r="J272" s="13">
        <f t="shared" si="8"/>
        <v>297696.7199999998</v>
      </c>
    </row>
    <row r="273" spans="1:10" x14ac:dyDescent="0.25">
      <c r="A273" s="10">
        <v>44115.684027777781</v>
      </c>
      <c r="B273" s="11" t="s">
        <v>2</v>
      </c>
      <c r="C273" s="11" t="s">
        <v>5</v>
      </c>
      <c r="D273" s="16" t="str">
        <f>HYPERLINK("https://freddywills.com/pick/7501/4-4-nfl-pod-guaranteed-or-back-colts-vs-browns-56-41-last-97-nfl-plays.html", "Colts +1 4.4% NFL POD")</f>
        <v>Colts +1 4.4% NFL POD</v>
      </c>
      <c r="E273" s="11">
        <v>4.4000000000000004</v>
      </c>
      <c r="F273" s="11">
        <v>-1.1000000000000001</v>
      </c>
      <c r="G273" s="11" t="s">
        <v>6</v>
      </c>
      <c r="H273" s="13">
        <v>-4400</v>
      </c>
      <c r="I273" s="14">
        <f t="shared" si="7"/>
        <v>2.4399200000000065E-2</v>
      </c>
      <c r="J273" s="13">
        <f t="shared" si="8"/>
        <v>299896.7199999998</v>
      </c>
    </row>
    <row r="274" spans="1:10" x14ac:dyDescent="0.25">
      <c r="A274" s="10">
        <v>44115.541666666664</v>
      </c>
      <c r="B274" s="11" t="s">
        <v>2</v>
      </c>
      <c r="C274" s="11" t="s">
        <v>5</v>
      </c>
      <c r="D274" s="16" t="str">
        <f>HYPERLINK("https://freddywills.com/pick/7497/2-2-nfl-action-84-58-59-1-run-in-nfl-action-65-06-chiefs-vs-raiders.html", "Raiders +11 2.2% play ")</f>
        <v xml:space="preserve">Raiders +11 2.2% play </v>
      </c>
      <c r="E274" s="11">
        <v>2.2000000000000002</v>
      </c>
      <c r="F274" s="11">
        <v>-1.1000000000000001</v>
      </c>
      <c r="G274" s="11" t="s">
        <v>4</v>
      </c>
      <c r="H274" s="13">
        <v>2000</v>
      </c>
      <c r="I274" s="14">
        <f t="shared" si="7"/>
        <v>6.8399200000000063E-2</v>
      </c>
      <c r="J274" s="13">
        <f t="shared" si="8"/>
        <v>304296.7199999998</v>
      </c>
    </row>
    <row r="275" spans="1:10" x14ac:dyDescent="0.25">
      <c r="A275" s="10">
        <v>44115.541666666664</v>
      </c>
      <c r="B275" s="11" t="s">
        <v>2</v>
      </c>
      <c r="C275" s="11" t="s">
        <v>10</v>
      </c>
      <c r="D275" s="16" t="str">
        <f>HYPERLINK("https://freddywills.com/pick/7500/nfl-teaser-of-the-week-guaranteed-or-back-102-72-76-821-l-174-all-sports-teasers.html", "Steelers -1 / 49ers -1.5 3.3% NFL Teaser")</f>
        <v>Steelers -1 / 49ers -1.5 3.3% NFL Teaser</v>
      </c>
      <c r="E275" s="11">
        <v>3.3</v>
      </c>
      <c r="F275" s="11">
        <v>-1.1000000000000001</v>
      </c>
      <c r="G275" s="11" t="s">
        <v>6</v>
      </c>
      <c r="H275" s="13">
        <v>-3300</v>
      </c>
      <c r="I275" s="14">
        <f t="shared" si="7"/>
        <v>4.8399200000000059E-2</v>
      </c>
      <c r="J275" s="13">
        <f t="shared" si="8"/>
        <v>302296.7199999998</v>
      </c>
    </row>
    <row r="276" spans="1:10" x14ac:dyDescent="0.25">
      <c r="A276" s="10">
        <v>44115.322222222225</v>
      </c>
      <c r="B276" s="11" t="s">
        <v>2</v>
      </c>
      <c r="C276" s="11" t="s">
        <v>5</v>
      </c>
      <c r="D276" s="16" t="str">
        <f>HYPERLINK("https://freddywills.com/pick/7499/nfl-free-pick-rams-vs-footballteam-56-30-40-427-l-86-nfl-free-picks.html", "Washington Football Team +7 +105 1% Free PLay ")</f>
        <v xml:space="preserve">Washington Football Team +7 +105 1% Free PLay </v>
      </c>
      <c r="E276" s="11">
        <v>1</v>
      </c>
      <c r="F276" s="11">
        <v>1.05</v>
      </c>
      <c r="G276" s="11" t="s">
        <v>6</v>
      </c>
      <c r="H276" s="13">
        <v>-1000</v>
      </c>
      <c r="I276" s="14">
        <f t="shared" si="7"/>
        <v>8.139920000000006E-2</v>
      </c>
      <c r="J276" s="13">
        <f t="shared" si="8"/>
        <v>305596.7199999998</v>
      </c>
    </row>
    <row r="277" spans="1:10" x14ac:dyDescent="0.25">
      <c r="A277" s="10">
        <v>44114.8125</v>
      </c>
      <c r="B277" s="11" t="s">
        <v>8</v>
      </c>
      <c r="C277" s="11" t="s">
        <v>5</v>
      </c>
      <c r="D277" s="16" t="str">
        <f>HYPERLINK("https://freddywills.com/pick/7490/3-3-acc-showdown-clemson-vs-miami-guaranteed-or-back-69-51-42-993-l-120-ncaaf-3-bankrol.html", "Clemson -14 3.3% play ")</f>
        <v xml:space="preserve">Clemson -14 3.3% play </v>
      </c>
      <c r="E277" s="11">
        <v>3.3</v>
      </c>
      <c r="F277" s="11">
        <v>-1.1000000000000001</v>
      </c>
      <c r="G277" s="11" t="s">
        <v>4</v>
      </c>
      <c r="H277" s="13">
        <v>3000</v>
      </c>
      <c r="I277" s="14">
        <f t="shared" si="7"/>
        <v>9.1399200000000055E-2</v>
      </c>
      <c r="J277" s="13">
        <f t="shared" si="8"/>
        <v>306596.7199999998</v>
      </c>
    </row>
    <row r="278" spans="1:10" x14ac:dyDescent="0.25">
      <c r="A278" s="10">
        <v>44114.8125</v>
      </c>
      <c r="B278" s="11" t="s">
        <v>8</v>
      </c>
      <c r="C278" s="11" t="s">
        <v>5</v>
      </c>
      <c r="D278" s="16" t="str">
        <f>HYPERLINK("https://freddywills.com/pick/7496/2-money-line-dog-of-the-day-84-116-last-200-college-football-money-lines-76-14-roi.html", "Miss State +130 2% play ")</f>
        <v xml:space="preserve">Miss State +130 2% play </v>
      </c>
      <c r="E278" s="11">
        <v>2</v>
      </c>
      <c r="F278" s="11">
        <v>1.3</v>
      </c>
      <c r="G278" s="11" t="s">
        <v>6</v>
      </c>
      <c r="H278" s="13">
        <v>-2000</v>
      </c>
      <c r="I278" s="14">
        <f t="shared" si="7"/>
        <v>6.1399200000000057E-2</v>
      </c>
      <c r="J278" s="13">
        <f t="shared" si="8"/>
        <v>303596.7199999998</v>
      </c>
    </row>
    <row r="279" spans="1:10" x14ac:dyDescent="0.25">
      <c r="A279" s="10">
        <v>44114.645833333336</v>
      </c>
      <c r="B279" s="11" t="s">
        <v>8</v>
      </c>
      <c r="C279" s="11" t="s">
        <v>5</v>
      </c>
      <c r="D279" s="16" t="str">
        <f>HYPERLINK("https://freddywills.com/pick/7493/sec-game-of-the-week-tennessee-vs-georgia-guaranteed-or-back.html", "Georgia -12 2.2% play ")</f>
        <v xml:space="preserve">Georgia -12 2.2% play </v>
      </c>
      <c r="E279" s="11">
        <v>2.2000000000000002</v>
      </c>
      <c r="F279" s="11">
        <v>-1.1000000000000001</v>
      </c>
      <c r="G279" s="11" t="s">
        <v>4</v>
      </c>
      <c r="H279" s="13">
        <v>2000</v>
      </c>
      <c r="I279" s="14">
        <f t="shared" si="7"/>
        <v>8.139920000000006E-2</v>
      </c>
      <c r="J279" s="13">
        <f t="shared" si="8"/>
        <v>305596.7199999998</v>
      </c>
    </row>
    <row r="280" spans="1:10" x14ac:dyDescent="0.25">
      <c r="A280" s="10">
        <v>44114.5</v>
      </c>
      <c r="B280" s="11" t="s">
        <v>8</v>
      </c>
      <c r="C280" s="11" t="s">
        <v>5</v>
      </c>
      <c r="D280" s="16" t="str">
        <f>HYPERLINK("https://freddywills.com/pick/7491/saturday-s-college-football-free-pick-syracuse-vs-duke-73-53-last-126-free-sports-picks-21-4.html", "Syracuse +1 1.1% Free Play")</f>
        <v>Syracuse +1 1.1% Free Play</v>
      </c>
      <c r="E280" s="11">
        <v>1.1000000000000001</v>
      </c>
      <c r="F280" s="11">
        <v>-1.1000000000000001</v>
      </c>
      <c r="G280" s="11" t="s">
        <v>6</v>
      </c>
      <c r="H280" s="13">
        <v>-1100</v>
      </c>
      <c r="I280" s="14">
        <f t="shared" si="7"/>
        <v>6.1399200000000057E-2</v>
      </c>
      <c r="J280" s="13">
        <f t="shared" si="8"/>
        <v>303596.7199999998</v>
      </c>
    </row>
    <row r="281" spans="1:10" x14ac:dyDescent="0.25">
      <c r="A281" s="10">
        <v>44114.5</v>
      </c>
      <c r="B281" s="11" t="s">
        <v>8</v>
      </c>
      <c r="C281" s="11" t="s">
        <v>5</v>
      </c>
      <c r="D281" s="16" t="str">
        <f>HYPERLINK("https://freddywills.com/pick/7492/2-2-acc-football-action-vatech-vs-unc-guaranteed-or-back.html", "Virginia Tech +4.5 2.2% play  ")</f>
        <v xml:space="preserve">Virginia Tech +4.5 2.2% play  </v>
      </c>
      <c r="E281" s="11">
        <v>2.2000000000000002</v>
      </c>
      <c r="F281" s="11">
        <v>-1.1000000000000001</v>
      </c>
      <c r="G281" s="11" t="s">
        <v>6</v>
      </c>
      <c r="H281" s="13">
        <v>-2200</v>
      </c>
      <c r="I281" s="14">
        <f t="shared" si="7"/>
        <v>7.2399200000000052E-2</v>
      </c>
      <c r="J281" s="13">
        <f t="shared" si="8"/>
        <v>304696.7199999998</v>
      </c>
    </row>
    <row r="282" spans="1:10" x14ac:dyDescent="0.25">
      <c r="A282" s="10">
        <v>44114.5</v>
      </c>
      <c r="B282" s="11" t="s">
        <v>8</v>
      </c>
      <c r="C282" s="11" t="s">
        <v>5</v>
      </c>
      <c r="D282" s="16" t="str">
        <f>HYPERLINK("https://freddywills.com/pick/7495/2-2-play-guaranteed-or-back-redriverrivalry-texas-vs-oklahoma.html", "Texas +3 2.2% play ")</f>
        <v xml:space="preserve">Texas +3 2.2% play </v>
      </c>
      <c r="E282" s="11">
        <v>2.2000000000000002</v>
      </c>
      <c r="F282" s="11">
        <v>-1.1000000000000001</v>
      </c>
      <c r="G282" s="11" t="s">
        <v>6</v>
      </c>
      <c r="H282" s="13">
        <v>-2200</v>
      </c>
      <c r="I282" s="14">
        <f t="shared" si="7"/>
        <v>9.4399200000000044E-2</v>
      </c>
      <c r="J282" s="13">
        <f t="shared" si="8"/>
        <v>306896.7199999998</v>
      </c>
    </row>
    <row r="283" spans="1:10" x14ac:dyDescent="0.25">
      <c r="A283" s="10">
        <v>44113.791666666664</v>
      </c>
      <c r="B283" s="11" t="s">
        <v>8</v>
      </c>
      <c r="C283" s="11" t="s">
        <v>5</v>
      </c>
      <c r="D283" s="16" t="str">
        <f>HYPERLINK("https://freddywills.com/pick/7494/fridaynightlights-georgiatech-vs-louisville-guaranteed-or-back.html", "Louisville -4.5 2.2% play ")</f>
        <v xml:space="preserve">Louisville -4.5 2.2% play </v>
      </c>
      <c r="E283" s="11">
        <v>2.2000000000000002</v>
      </c>
      <c r="F283" s="11">
        <v>-1.1000000000000001</v>
      </c>
      <c r="G283" s="11" t="s">
        <v>6</v>
      </c>
      <c r="H283" s="13">
        <v>-2200</v>
      </c>
      <c r="I283" s="14">
        <f t="shared" si="7"/>
        <v>0.11639920000000004</v>
      </c>
      <c r="J283" s="13">
        <f t="shared" si="8"/>
        <v>309096.7199999998</v>
      </c>
    </row>
    <row r="284" spans="1:10" x14ac:dyDescent="0.25">
      <c r="A284" s="10">
        <v>44112.8125</v>
      </c>
      <c r="B284" s="11" t="s">
        <v>8</v>
      </c>
      <c r="C284" s="11" t="s">
        <v>5</v>
      </c>
      <c r="D284" s="16" t="str">
        <f>HYPERLINK("https://freddywills.com/pick/7489/thursday-night-football-greenwavefb-vs-uhcougarfb-guaranteed-or-back-33-22-20-092-l-55-a.html", "Houston -6.5 2.2% play ")</f>
        <v xml:space="preserve">Houston -6.5 2.2% play </v>
      </c>
      <c r="E284" s="11">
        <v>2.2000000000000002</v>
      </c>
      <c r="F284" s="11">
        <v>-1.1000000000000001</v>
      </c>
      <c r="G284" s="11" t="s">
        <v>4</v>
      </c>
      <c r="H284" s="13">
        <v>2000</v>
      </c>
      <c r="I284" s="14">
        <f t="shared" si="7"/>
        <v>0.13839920000000003</v>
      </c>
      <c r="J284" s="13">
        <f t="shared" si="8"/>
        <v>311296.7199999998</v>
      </c>
    </row>
    <row r="285" spans="1:10" x14ac:dyDescent="0.25">
      <c r="A285" s="10">
        <v>44108.847222222219</v>
      </c>
      <c r="B285" s="11" t="s">
        <v>2</v>
      </c>
      <c r="C285" s="11" t="s">
        <v>7</v>
      </c>
      <c r="D285" s="16" t="str">
        <f>HYPERLINK("https://freddywills.com/pick/7477/nfl-week-4-total-guaranteed-or-back-49ers-vs-eagles.html", "Eagles Over 43 2.2% play ")</f>
        <v xml:space="preserve">Eagles Over 43 2.2% play </v>
      </c>
      <c r="E285" s="11">
        <v>2.2000000000000002</v>
      </c>
      <c r="F285" s="11">
        <v>-1.1000000000000001</v>
      </c>
      <c r="G285" s="11" t="s">
        <v>4</v>
      </c>
      <c r="H285" s="13">
        <v>2000</v>
      </c>
      <c r="I285" s="14">
        <f t="shared" si="7"/>
        <v>0.11839920000000002</v>
      </c>
      <c r="J285" s="13">
        <f t="shared" si="8"/>
        <v>309296.7199999998</v>
      </c>
    </row>
    <row r="286" spans="1:10" x14ac:dyDescent="0.25">
      <c r="A286" s="10">
        <v>44108.847222222219</v>
      </c>
      <c r="B286" s="11" t="s">
        <v>2</v>
      </c>
      <c r="C286" s="11" t="s">
        <v>5</v>
      </c>
      <c r="D286" s="16" t="str">
        <f>HYPERLINK("https://freddywills.com/pick/7488/sunday-night-football-eagles-vs-49ers-guaranteed-or-back.html", "Eagles +7.5 -105 2.2% play ")</f>
        <v xml:space="preserve">Eagles +7.5 -105 2.2% play </v>
      </c>
      <c r="E286" s="11">
        <v>2.2000000000000002</v>
      </c>
      <c r="F286" s="11">
        <v>-1.05</v>
      </c>
      <c r="G286" s="11" t="s">
        <v>4</v>
      </c>
      <c r="H286" s="13">
        <v>2095.2399999999998</v>
      </c>
      <c r="I286" s="14">
        <f t="shared" si="7"/>
        <v>9.839920000000002E-2</v>
      </c>
      <c r="J286" s="13">
        <f t="shared" si="8"/>
        <v>307296.7199999998</v>
      </c>
    </row>
    <row r="287" spans="1:10" x14ac:dyDescent="0.25">
      <c r="A287" s="10">
        <v>44108.684027777781</v>
      </c>
      <c r="B287" s="11" t="s">
        <v>2</v>
      </c>
      <c r="C287" s="11" t="s">
        <v>18</v>
      </c>
      <c r="D287" s="16" t="str">
        <f>HYPERLINK("https://freddywills.com/pick/7484/5-5-max-nfl-pod-60-32-141-829-l-92-max-rated-nfl-picks-guaranteed-or-back.html", "Colts -145 5.5% NFL POD")</f>
        <v>Colts -145 5.5% NFL POD</v>
      </c>
      <c r="E287" s="11">
        <v>5.5</v>
      </c>
      <c r="F287" s="11">
        <v>-1.45</v>
      </c>
      <c r="G287" s="11" t="s">
        <v>4</v>
      </c>
      <c r="H287" s="13">
        <v>3793.1</v>
      </c>
      <c r="I287" s="14">
        <f t="shared" si="7"/>
        <v>7.7446800000000024E-2</v>
      </c>
      <c r="J287" s="13">
        <f t="shared" si="8"/>
        <v>305201.47999999981</v>
      </c>
    </row>
    <row r="288" spans="1:10" x14ac:dyDescent="0.25">
      <c r="A288" s="10">
        <v>44108.541666666664</v>
      </c>
      <c r="B288" s="11" t="s">
        <v>2</v>
      </c>
      <c r="C288" s="11" t="s">
        <v>7</v>
      </c>
      <c r="D288" s="16" t="str">
        <f>HYPERLINK("https://freddywills.com/pick/7485/nfl-total-play-dolphins-vs-seahawks-guaranteed-or-back.html", "Seahawks / Dolphins O54.5 2.2% play ")</f>
        <v xml:space="preserve">Seahawks / Dolphins O54.5 2.2% play </v>
      </c>
      <c r="E288" s="11">
        <v>2.2000000000000002</v>
      </c>
      <c r="F288" s="11">
        <v>-1.1000000000000001</v>
      </c>
      <c r="G288" s="11" t="s">
        <v>6</v>
      </c>
      <c r="H288" s="13">
        <v>-2200</v>
      </c>
      <c r="I288" s="14">
        <f t="shared" si="7"/>
        <v>3.9515800000000025E-2</v>
      </c>
      <c r="J288" s="13">
        <f t="shared" si="8"/>
        <v>301408.37999999983</v>
      </c>
    </row>
    <row r="289" spans="1:10" x14ac:dyDescent="0.25">
      <c r="A289" s="10">
        <v>44108.541666666664</v>
      </c>
      <c r="B289" s="11" t="s">
        <v>2</v>
      </c>
      <c r="C289" s="11" t="s">
        <v>5</v>
      </c>
      <c r="D289" s="16" t="str">
        <f>HYPERLINK("https://freddywills.com/pick/7486/1-5-free-nfl-pick-chargers-vs-bucs-55-30-last-85-free-nfl-picks-64-7-winners.html", "Chargers +7.5 -125 1.5% Free Play")</f>
        <v>Chargers +7.5 -125 1.5% Free Play</v>
      </c>
      <c r="E289" s="11">
        <v>1.5</v>
      </c>
      <c r="F289" s="11">
        <v>-1.25</v>
      </c>
      <c r="G289" s="11" t="s">
        <v>4</v>
      </c>
      <c r="H289" s="13">
        <v>1200</v>
      </c>
      <c r="I289" s="14">
        <f t="shared" si="7"/>
        <v>6.1515800000000023E-2</v>
      </c>
      <c r="J289" s="13">
        <f t="shared" si="8"/>
        <v>303608.37999999983</v>
      </c>
    </row>
    <row r="290" spans="1:10" x14ac:dyDescent="0.25">
      <c r="A290" s="10">
        <v>44108.541666666664</v>
      </c>
      <c r="B290" s="11" t="s">
        <v>2</v>
      </c>
      <c r="C290" s="11" t="s">
        <v>10</v>
      </c>
      <c r="D290" s="16" t="str">
        <f>HYPERLINK("https://freddywills.com/pick/7487/3-3-nfl-teaser-of-the-week-guaranteed-or-back-102-71-80-121-l-173-all-sports-teasers.html", "Jaguars +8.5 / Lions +9 3.3% Teaser play")</f>
        <v>Jaguars +8.5 / Lions +9 3.3% Teaser play</v>
      </c>
      <c r="E290" s="11">
        <v>3.3</v>
      </c>
      <c r="F290" s="11">
        <v>-1.1000000000000001</v>
      </c>
      <c r="G290" s="11" t="s">
        <v>4</v>
      </c>
      <c r="H290" s="13">
        <v>3000</v>
      </c>
      <c r="I290" s="14">
        <f t="shared" si="7"/>
        <v>4.951580000000002E-2</v>
      </c>
      <c r="J290" s="13">
        <f t="shared" si="8"/>
        <v>302408.37999999983</v>
      </c>
    </row>
    <row r="291" spans="1:10" x14ac:dyDescent="0.25">
      <c r="A291" s="10">
        <v>44107.8125</v>
      </c>
      <c r="B291" s="11" t="s">
        <v>8</v>
      </c>
      <c r="C291" s="11" t="s">
        <v>5</v>
      </c>
      <c r="D291" s="16" t="str">
        <f>HYPERLINK("https://freddywills.com/pick/7479/3-3-sec-dog-of-the-week-118-93-55-96-roi-last-211-3-rated-sports-picks-guaranteed-or.html", "Arkansas +17 3.3% play ")</f>
        <v xml:space="preserve">Arkansas +17 3.3% play </v>
      </c>
      <c r="E291" s="11">
        <v>3.3</v>
      </c>
      <c r="F291" s="11">
        <v>-1.1000000000000001</v>
      </c>
      <c r="G291" s="11" t="s">
        <v>4</v>
      </c>
      <c r="H291" s="13">
        <v>3000</v>
      </c>
      <c r="I291" s="14">
        <f t="shared" si="7"/>
        <v>1.9515800000000021E-2</v>
      </c>
      <c r="J291" s="13">
        <f t="shared" si="8"/>
        <v>299408.37999999983</v>
      </c>
    </row>
    <row r="292" spans="1:10" x14ac:dyDescent="0.25">
      <c r="A292" s="10">
        <v>44107.8125</v>
      </c>
      <c r="B292" s="11" t="s">
        <v>8</v>
      </c>
      <c r="C292" s="11" t="s">
        <v>5</v>
      </c>
      <c r="D292" s="16" t="str">
        <f>HYPERLINK("https://freddywills.com/pick/7483/collegefootball-free-pick-iowastate-vs-oklahoma-72-53-20-4-roi-since-2015-on-free-sports-p.html", "Iowa State +7.5 1.1% Free Play ")</f>
        <v xml:space="preserve">Iowa State +7.5 1.1% Free Play </v>
      </c>
      <c r="E292" s="11">
        <v>1.1000000000000001</v>
      </c>
      <c r="F292" s="11">
        <v>-1.1000000000000001</v>
      </c>
      <c r="G292" s="11" t="s">
        <v>4</v>
      </c>
      <c r="H292" s="13">
        <v>1000</v>
      </c>
      <c r="I292" s="14">
        <f t="shared" si="7"/>
        <v>-1.048419999999998E-2</v>
      </c>
      <c r="J292" s="13">
        <f t="shared" si="8"/>
        <v>296408.37999999983</v>
      </c>
    </row>
    <row r="293" spans="1:10" x14ac:dyDescent="0.25">
      <c r="A293" s="10">
        <v>44107.666666666664</v>
      </c>
      <c r="B293" s="11" t="s">
        <v>8</v>
      </c>
      <c r="C293" s="11" t="s">
        <v>10</v>
      </c>
      <c r="D293" s="16" t="str">
        <f>HYPERLINK("https://freddywills.com/pick/7478/all-sec-teaser-of-the-week-48-31-l79-ncaaf-teaser-plays-54-11-guaranteed-or-back.html", "Kentucky pk / Georgia -0.5 3.3% Teaser of the week.")</f>
        <v>Kentucky pk / Georgia -0.5 3.3% Teaser of the week.</v>
      </c>
      <c r="E293" s="11">
        <v>3.3</v>
      </c>
      <c r="F293" s="11">
        <v>-1.1000000000000001</v>
      </c>
      <c r="G293" s="11" t="s">
        <v>6</v>
      </c>
      <c r="H293" s="13">
        <v>-3300</v>
      </c>
      <c r="I293" s="14">
        <f t="shared" si="7"/>
        <v>-2.048419999999998E-2</v>
      </c>
      <c r="J293" s="13">
        <f t="shared" si="8"/>
        <v>295408.37999999983</v>
      </c>
    </row>
    <row r="294" spans="1:10" x14ac:dyDescent="0.25">
      <c r="A294" s="10">
        <v>44107.5</v>
      </c>
      <c r="B294" s="11" t="s">
        <v>8</v>
      </c>
      <c r="C294" s="11" t="s">
        <v>5</v>
      </c>
      <c r="D294" s="16" t="str">
        <f>HYPERLINK("https://freddywills.com/pick/7480/3-3-play-missouri-vs-tennessee-guaranteed-or-back-108-81-66-210-l-189-all-sports-3-ban.html", "Missouri +13 3.3% play ")</f>
        <v xml:space="preserve">Missouri +13 3.3% play </v>
      </c>
      <c r="E294" s="11">
        <v>3.3</v>
      </c>
      <c r="F294" s="11">
        <v>-1.1000000000000001</v>
      </c>
      <c r="G294" s="11" t="s">
        <v>6</v>
      </c>
      <c r="H294" s="13">
        <v>-3300</v>
      </c>
      <c r="I294" s="14">
        <f t="shared" ref="I294:I318" si="9">H294/100000+I295</f>
        <v>1.2515800000000021E-2</v>
      </c>
      <c r="J294" s="13">
        <f t="shared" si="8"/>
        <v>298708.37999999983</v>
      </c>
    </row>
    <row r="295" spans="1:10" x14ac:dyDescent="0.25">
      <c r="A295" s="10">
        <v>44107.5</v>
      </c>
      <c r="B295" s="11" t="s">
        <v>8</v>
      </c>
      <c r="C295" s="11" t="s">
        <v>5</v>
      </c>
      <c r="D295" s="16" t="str">
        <f>HYPERLINK("https://freddywills.com/pick/7481/3-money-line-dog-of-the-week-84-116-76-140-l-200-ncaaf-money-lines.html", "West Virginia +120 3% play ")</f>
        <v xml:space="preserve">West Virginia +120 3% play </v>
      </c>
      <c r="E295" s="11">
        <v>3</v>
      </c>
      <c r="F295" s="11">
        <v>1.2</v>
      </c>
      <c r="G295" s="11" t="s">
        <v>4</v>
      </c>
      <c r="H295" s="13">
        <v>3600</v>
      </c>
      <c r="I295" s="14">
        <f t="shared" si="9"/>
        <v>4.5515800000000023E-2</v>
      </c>
      <c r="J295" s="13">
        <f t="shared" ref="J295:J332" si="10">H295+J296</f>
        <v>302008.37999999983</v>
      </c>
    </row>
    <row r="296" spans="1:10" x14ac:dyDescent="0.25">
      <c r="A296" s="10">
        <v>44106.875</v>
      </c>
      <c r="B296" s="11" t="s">
        <v>8</v>
      </c>
      <c r="C296" s="11" t="s">
        <v>5</v>
      </c>
      <c r="D296" s="16" t="str">
        <f>HYPERLINK("https://freddywills.com/pick/7482/fridaynightlights-latech-vs-byu-2-2-play-guaranteed-or-back.html", "La Tech +24.5 2.2% play ")</f>
        <v xml:space="preserve">La Tech +24.5 2.2% play </v>
      </c>
      <c r="E296" s="11">
        <v>2.2000000000000002</v>
      </c>
      <c r="F296" s="11">
        <v>-1.1000000000000001</v>
      </c>
      <c r="G296" s="11" t="s">
        <v>6</v>
      </c>
      <c r="H296" s="13">
        <v>-2200</v>
      </c>
      <c r="I296" s="14">
        <f t="shared" si="9"/>
        <v>9.5158000000000256E-3</v>
      </c>
      <c r="J296" s="13">
        <f t="shared" si="10"/>
        <v>298408.37999999983</v>
      </c>
    </row>
    <row r="297" spans="1:10" x14ac:dyDescent="0.25">
      <c r="A297" s="10">
        <v>44101.684027777781</v>
      </c>
      <c r="B297" s="11" t="s">
        <v>2</v>
      </c>
      <c r="C297" s="11" t="s">
        <v>5</v>
      </c>
      <c r="D297" s="16" t="str">
        <f>HYPERLINK("https://freddywills.com/pick/7473/cowboys-vs-seahawks-42-22-66-099-l-64-nfl-picks-in-september-guaranteed-or-back.html", "Cowboys +5 2.2% play ")</f>
        <v xml:space="preserve">Cowboys +5 2.2% play </v>
      </c>
      <c r="E297" s="11">
        <v>2.2000000000000002</v>
      </c>
      <c r="F297" s="11">
        <v>-1.1000000000000001</v>
      </c>
      <c r="G297" s="11" t="s">
        <v>6</v>
      </c>
      <c r="H297" s="13">
        <v>-2200</v>
      </c>
      <c r="I297" s="14">
        <f t="shared" si="9"/>
        <v>3.1515800000000024E-2</v>
      </c>
      <c r="J297" s="13">
        <f t="shared" si="10"/>
        <v>300608.37999999983</v>
      </c>
    </row>
    <row r="298" spans="1:10" x14ac:dyDescent="0.25">
      <c r="A298" s="10">
        <v>44101.684027777781</v>
      </c>
      <c r="B298" s="11" t="s">
        <v>2</v>
      </c>
      <c r="C298" s="11" t="s">
        <v>10</v>
      </c>
      <c r="D298" s="16" t="str">
        <f>HYPERLINK("https://freddywills.com/pick/7475/nfl-teaser-of-the-week-101-71-l172-teasers-77-12.html", "Browns -1 / Tampa pk 3.3% play ")</f>
        <v xml:space="preserve">Browns -1 / Tampa pk 3.3% play </v>
      </c>
      <c r="E298" s="11">
        <v>3.3</v>
      </c>
      <c r="F298" s="11">
        <v>-1.1000000000000001</v>
      </c>
      <c r="G298" s="11" t="s">
        <v>4</v>
      </c>
      <c r="H298" s="13">
        <v>3000</v>
      </c>
      <c r="I298" s="14">
        <f t="shared" si="9"/>
        <v>5.3515800000000023E-2</v>
      </c>
      <c r="J298" s="13">
        <f t="shared" si="10"/>
        <v>302808.37999999983</v>
      </c>
    </row>
    <row r="299" spans="1:10" x14ac:dyDescent="0.25">
      <c r="A299" s="10">
        <v>44101.684027777781</v>
      </c>
      <c r="B299" s="11" t="s">
        <v>2</v>
      </c>
      <c r="C299" s="11" t="s">
        <v>5</v>
      </c>
      <c r="D299" s="16" t="str">
        <f>HYPERLINK("https://freddywills.com/pick/7476/1-1-free-nfl-pick-54-30-38-227-l-84-nfl-free-picks-lions-vs-cardinals.html", "Lions +5.5 1.1% Free Play")</f>
        <v>Lions +5.5 1.1% Free Play</v>
      </c>
      <c r="E299" s="11">
        <v>1.1000000000000001</v>
      </c>
      <c r="F299" s="11">
        <v>-1.1000000000000001</v>
      </c>
      <c r="G299" s="11" t="s">
        <v>4</v>
      </c>
      <c r="H299" s="13">
        <v>1000</v>
      </c>
      <c r="I299" s="14">
        <f t="shared" si="9"/>
        <v>2.3515800000000024E-2</v>
      </c>
      <c r="J299" s="13">
        <f t="shared" si="10"/>
        <v>299808.37999999983</v>
      </c>
    </row>
    <row r="300" spans="1:10" x14ac:dyDescent="0.25">
      <c r="A300" s="10">
        <v>44101.541666666664</v>
      </c>
      <c r="B300" s="11" t="s">
        <v>2</v>
      </c>
      <c r="C300" s="11" t="s">
        <v>5</v>
      </c>
      <c r="D300" s="16" t="str">
        <f>HYPERLINK("https://freddywills.com/pick/7474/5-5-max-nfl-pod-bills-vs-rams-76-53-59-l129-max-rated-nfl-picks.html", "Bills -2 5.5% NFL POD")</f>
        <v>Bills -2 5.5% NFL POD</v>
      </c>
      <c r="E300" s="11">
        <v>5.5</v>
      </c>
      <c r="F300" s="11">
        <v>-1.1000000000000001</v>
      </c>
      <c r="G300" s="11" t="s">
        <v>4</v>
      </c>
      <c r="H300" s="13">
        <v>5000</v>
      </c>
      <c r="I300" s="14">
        <f t="shared" si="9"/>
        <v>1.3515800000000022E-2</v>
      </c>
      <c r="J300" s="13">
        <f t="shared" si="10"/>
        <v>298808.37999999983</v>
      </c>
    </row>
    <row r="301" spans="1:10" x14ac:dyDescent="0.25">
      <c r="A301" s="10">
        <v>44100.815972222219</v>
      </c>
      <c r="B301" s="11" t="s">
        <v>8</v>
      </c>
      <c r="C301" s="11" t="s">
        <v>7</v>
      </c>
      <c r="D301" s="16" t="str">
        <f>HYPERLINK("https://freddywills.com/pick/7467/2-2-college-football-total-of-the-week-miami-vs-floridastate-guaranteed-or-back-38-29-16.html", "FSU / MIAMI UNDER 54 2.2% PLAY")</f>
        <v>FSU / MIAMI UNDER 54 2.2% PLAY</v>
      </c>
      <c r="E301" s="11">
        <v>2.2000000000000002</v>
      </c>
      <c r="F301" s="11">
        <v>-1.1000000000000001</v>
      </c>
      <c r="G301" s="11" t="s">
        <v>6</v>
      </c>
      <c r="H301" s="13">
        <v>-2200</v>
      </c>
      <c r="I301" s="14">
        <f t="shared" si="9"/>
        <v>-3.6484199999999981E-2</v>
      </c>
      <c r="J301" s="13">
        <f t="shared" si="10"/>
        <v>293808.37999999983</v>
      </c>
    </row>
    <row r="302" spans="1:10" x14ac:dyDescent="0.25">
      <c r="A302" s="10">
        <v>44100.8125</v>
      </c>
      <c r="B302" s="11" t="s">
        <v>8</v>
      </c>
      <c r="C302" s="11" t="s">
        <v>5</v>
      </c>
      <c r="D302" s="16" t="str">
        <f>HYPERLINK("https://freddywills.com/pick/7470/sec-action-vol-football-vs-gamecockfb-guaranteed-or-back-67-48-46-293-l-115-ncaaf-3-ban.html", "South Carolina +4 3.3% play ")</f>
        <v xml:space="preserve">South Carolina +4 3.3% play </v>
      </c>
      <c r="E302" s="11">
        <v>3.3</v>
      </c>
      <c r="F302" s="11">
        <v>-1.1000000000000001</v>
      </c>
      <c r="G302" s="11" t="s">
        <v>9</v>
      </c>
      <c r="H302" s="13">
        <v>0</v>
      </c>
      <c r="I302" s="14">
        <f t="shared" si="9"/>
        <v>-1.4484199999999982E-2</v>
      </c>
      <c r="J302" s="13">
        <f t="shared" si="10"/>
        <v>296008.37999999983</v>
      </c>
    </row>
    <row r="303" spans="1:10" x14ac:dyDescent="0.25">
      <c r="A303" s="10">
        <v>44100.666666666664</v>
      </c>
      <c r="B303" s="11" t="s">
        <v>8</v>
      </c>
      <c r="C303" s="11" t="s">
        <v>7</v>
      </c>
      <c r="D303" s="16" t="str">
        <f>HYPERLINK("https://freddywills.com/pick/7468/duke-vs-virginia-total-play-guaranteed-or-back.html", "Duke / Virginia Under 46.5 2.2% play ")</f>
        <v xml:space="preserve">Duke / Virginia Under 46.5 2.2% play </v>
      </c>
      <c r="E303" s="11">
        <v>2.2000000000000002</v>
      </c>
      <c r="F303" s="11">
        <v>-1.1000000000000001</v>
      </c>
      <c r="G303" s="11" t="s">
        <v>6</v>
      </c>
      <c r="H303" s="13">
        <v>-2200</v>
      </c>
      <c r="I303" s="14">
        <f t="shared" si="9"/>
        <v>-1.4484199999999982E-2</v>
      </c>
      <c r="J303" s="13">
        <f t="shared" si="10"/>
        <v>296008.37999999983</v>
      </c>
    </row>
    <row r="304" spans="1:10" x14ac:dyDescent="0.25">
      <c r="A304" s="10">
        <v>44100.5</v>
      </c>
      <c r="B304" s="11" t="s">
        <v>8</v>
      </c>
      <c r="C304" s="11" t="s">
        <v>5</v>
      </c>
      <c r="D304" s="16" t="str">
        <f>HYPERLINK("https://freddywills.com/pick/7465/collegefootball-free-pick-oklahoma-vs-kansasstate-71-52-20-57-roi-last-123-free-sports-p.html", "Oklahoma -27.5 1.1% Free Play ")</f>
        <v xml:space="preserve">Oklahoma -27.5 1.1% Free Play </v>
      </c>
      <c r="E304" s="11">
        <v>1.1000000000000001</v>
      </c>
      <c r="F304" s="11">
        <v>-1.1000000000000001</v>
      </c>
      <c r="G304" s="11" t="s">
        <v>6</v>
      </c>
      <c r="H304" s="13">
        <v>-1100</v>
      </c>
      <c r="I304" s="14">
        <f t="shared" si="9"/>
        <v>7.5158000000000169E-3</v>
      </c>
      <c r="J304" s="13">
        <f t="shared" si="10"/>
        <v>298208.37999999983</v>
      </c>
    </row>
    <row r="305" spans="1:10" x14ac:dyDescent="0.25">
      <c r="A305" s="10">
        <v>44100.5</v>
      </c>
      <c r="B305" s="11" t="s">
        <v>8</v>
      </c>
      <c r="C305" s="11" t="s">
        <v>5</v>
      </c>
      <c r="D305" s="16" t="str">
        <f>HYPERLINK("https://freddywills.com/pick/7466/florida-vs-olemiss-secfootball-57-9-this-week-in-college-football-since-2009-guaranteed-or.html", "Florida -13.5 2.2% play ")</f>
        <v xml:space="preserve">Florida -13.5 2.2% play </v>
      </c>
      <c r="E305" s="11">
        <v>2.2000000000000002</v>
      </c>
      <c r="F305" s="11">
        <v>-1.1000000000000001</v>
      </c>
      <c r="G305" s="11" t="s">
        <v>4</v>
      </c>
      <c r="H305" s="13">
        <v>2000</v>
      </c>
      <c r="I305" s="14">
        <f t="shared" si="9"/>
        <v>1.8515800000000016E-2</v>
      </c>
      <c r="J305" s="13">
        <f t="shared" si="10"/>
        <v>299308.37999999983</v>
      </c>
    </row>
    <row r="306" spans="1:10" x14ac:dyDescent="0.25">
      <c r="A306" s="10">
        <v>44100.5</v>
      </c>
      <c r="B306" s="11" t="s">
        <v>8</v>
      </c>
      <c r="C306" s="11" t="s">
        <v>5</v>
      </c>
      <c r="D306" s="16" t="str">
        <f>HYPERLINK("https://freddywills.com/pick/7469/sec-action-kentucky-vs-auburn-guaranteed-or-back-3-3-play.html", "Kentucky +7.5 3.3% play ")</f>
        <v xml:space="preserve">Kentucky +7.5 3.3% play </v>
      </c>
      <c r="E306" s="11">
        <v>3.3</v>
      </c>
      <c r="F306" s="11">
        <v>-1.1000000000000001</v>
      </c>
      <c r="G306" s="11" t="s">
        <v>6</v>
      </c>
      <c r="H306" s="13">
        <v>-3300</v>
      </c>
      <c r="I306" s="14">
        <f t="shared" si="9"/>
        <v>-1.4841999999999841E-3</v>
      </c>
      <c r="J306" s="13">
        <f t="shared" si="10"/>
        <v>297308.37999999983</v>
      </c>
    </row>
    <row r="307" spans="1:10" x14ac:dyDescent="0.25">
      <c r="A307" s="10">
        <v>44100.5</v>
      </c>
      <c r="B307" s="11" t="s">
        <v>8</v>
      </c>
      <c r="C307" s="11" t="s">
        <v>7</v>
      </c>
      <c r="D307" s="16" t="str">
        <f>HYPERLINK("https://freddywills.com/pick/7472/early-bird-total-acc-action-guaranteed-or-back.html", "Georgia Tech / Syracuse Under 52.5 2.2% play ")</f>
        <v xml:space="preserve">Georgia Tech / Syracuse Under 52.5 2.2% play </v>
      </c>
      <c r="E307" s="11">
        <v>2.2000000000000002</v>
      </c>
      <c r="F307" s="11">
        <v>-1.1000000000000001</v>
      </c>
      <c r="G307" s="11" t="s">
        <v>6</v>
      </c>
      <c r="H307" s="13">
        <v>-2200</v>
      </c>
      <c r="I307" s="14">
        <f t="shared" si="9"/>
        <v>3.1515800000000017E-2</v>
      </c>
      <c r="J307" s="13">
        <f t="shared" si="10"/>
        <v>300608.37999999983</v>
      </c>
    </row>
    <row r="308" spans="1:10" x14ac:dyDescent="0.25">
      <c r="A308" s="10">
        <v>44099.833333333336</v>
      </c>
      <c r="B308" s="11" t="s">
        <v>8</v>
      </c>
      <c r="C308" s="11" t="s">
        <v>5</v>
      </c>
      <c r="D308" s="16" t="str">
        <f>HYPERLINK("https://freddywills.com/pick/7471/friday-night-lights-guaranteed-or-back-mtsu-vs-utsa.html", "MTSU +7 -125 2% PLAY ")</f>
        <v xml:space="preserve">MTSU +7 -125 2% PLAY </v>
      </c>
      <c r="E308" s="11">
        <v>2</v>
      </c>
      <c r="F308" s="11">
        <v>-1.25</v>
      </c>
      <c r="G308" s="11" t="s">
        <v>4</v>
      </c>
      <c r="H308" s="13">
        <v>1600</v>
      </c>
      <c r="I308" s="14">
        <f t="shared" si="9"/>
        <v>5.3515800000000016E-2</v>
      </c>
      <c r="J308" s="13">
        <f t="shared" si="10"/>
        <v>302808.37999999983</v>
      </c>
    </row>
    <row r="309" spans="1:10" x14ac:dyDescent="0.25">
      <c r="A309" s="10">
        <v>44098.847222222219</v>
      </c>
      <c r="B309" s="11" t="s">
        <v>2</v>
      </c>
      <c r="C309" s="11" t="s">
        <v>5</v>
      </c>
      <c r="D309" s="16" t="str">
        <f>HYPERLINK("https://freddywills.com/pick/7464/thursday-night-s-nfl-action-just-10-guaranteed-or-back.html", "Dolphins +3 2.2% play ")</f>
        <v xml:space="preserve">Dolphins +3 2.2% play </v>
      </c>
      <c r="E309" s="11">
        <v>2.2000000000000002</v>
      </c>
      <c r="F309" s="11">
        <v>-1.1000000000000001</v>
      </c>
      <c r="G309" s="11" t="s">
        <v>4</v>
      </c>
      <c r="H309" s="13">
        <v>2000</v>
      </c>
      <c r="I309" s="14">
        <f t="shared" si="9"/>
        <v>3.7515800000000016E-2</v>
      </c>
      <c r="J309" s="13">
        <f t="shared" si="10"/>
        <v>301208.37999999983</v>
      </c>
    </row>
    <row r="310" spans="1:10" x14ac:dyDescent="0.25">
      <c r="A310" s="10">
        <v>44094.684027777781</v>
      </c>
      <c r="B310" s="11" t="s">
        <v>2</v>
      </c>
      <c r="C310" s="11" t="s">
        <v>5</v>
      </c>
      <c r="D310" s="16" t="str">
        <f>HYPERLINK("https://freddywills.com/pick/7458/3-5-nfl-play-guaranteed-or-back-63-48-40-903-l-111-nfl-3-bankroll.html", "Texans +7.5 -120 3.5% play ")</f>
        <v xml:space="preserve">Texans +7.5 -120 3.5% play </v>
      </c>
      <c r="E310" s="11">
        <v>2</v>
      </c>
      <c r="F310" s="11">
        <v>-1.2</v>
      </c>
      <c r="G310" s="11" t="s">
        <v>6</v>
      </c>
      <c r="H310" s="13">
        <v>-2000</v>
      </c>
      <c r="I310" s="14">
        <f t="shared" si="9"/>
        <v>1.7515800000000015E-2</v>
      </c>
      <c r="J310" s="13">
        <f t="shared" si="10"/>
        <v>299208.37999999983</v>
      </c>
    </row>
    <row r="311" spans="1:10" x14ac:dyDescent="0.25">
      <c r="A311" s="10">
        <v>44094.541666666664</v>
      </c>
      <c r="B311" s="11" t="s">
        <v>2</v>
      </c>
      <c r="C311" s="11" t="s">
        <v>5</v>
      </c>
      <c r="D311" s="16" t="str">
        <f>HYPERLINK("https://freddywills.com/pick/7459/5-5-max-nfl-pod-58-32-132-047-l-90-max-rated-nfl-picks-guaranteed-or-back.html", "Colts -3 -115 5.5% NFL POD ")</f>
        <v xml:space="preserve">Colts -3 -115 5.5% NFL POD </v>
      </c>
      <c r="E311" s="11">
        <v>5.5</v>
      </c>
      <c r="F311" s="11">
        <v>-1.1499999999999999</v>
      </c>
      <c r="G311" s="11" t="s">
        <v>4</v>
      </c>
      <c r="H311" s="13">
        <v>4782.6099999999997</v>
      </c>
      <c r="I311" s="14">
        <f t="shared" si="9"/>
        <v>3.7515800000000016E-2</v>
      </c>
      <c r="J311" s="13">
        <f t="shared" si="10"/>
        <v>301208.37999999983</v>
      </c>
    </row>
    <row r="312" spans="1:10" x14ac:dyDescent="0.25">
      <c r="A312" s="10">
        <v>44094.541666666664</v>
      </c>
      <c r="B312" s="11" t="s">
        <v>2</v>
      </c>
      <c r="C312" s="11" t="s">
        <v>18</v>
      </c>
      <c r="D312" s="16" t="str">
        <f>HYPERLINK("https://freddywills.com/pick/7460/3-nfl-money-line-play-guaranteed-or-back-28-14-86-644-l-42-nfl-money-lines-36-19-56-7.html", "Eagles -120 3% play ")</f>
        <v xml:space="preserve">Eagles -120 3% play </v>
      </c>
      <c r="E312" s="11">
        <v>3</v>
      </c>
      <c r="F312" s="11">
        <v>-1.2</v>
      </c>
      <c r="G312" s="11" t="s">
        <v>6</v>
      </c>
      <c r="H312" s="13">
        <v>-3000</v>
      </c>
      <c r="I312" s="14">
        <f t="shared" si="9"/>
        <v>-1.0310299999999981E-2</v>
      </c>
      <c r="J312" s="13">
        <f t="shared" si="10"/>
        <v>296425.76999999984</v>
      </c>
    </row>
    <row r="313" spans="1:10" x14ac:dyDescent="0.25">
      <c r="A313" s="10">
        <v>44094.541666666664</v>
      </c>
      <c r="B313" s="11" t="s">
        <v>2</v>
      </c>
      <c r="C313" s="11" t="s">
        <v>7</v>
      </c>
      <c r="D313" s="16" t="str">
        <f>HYPERLINK("https://freddywills.com/pick/7461/nfl-total-of-the-week-bills-vs-dolphins-guaranteed-or-back.html", "Bills / Dolphins Over 42 2.2% play ")</f>
        <v xml:space="preserve">Bills / Dolphins Over 42 2.2% play </v>
      </c>
      <c r="E313" s="11">
        <v>2.2000000000000002</v>
      </c>
      <c r="F313" s="11">
        <v>-1.1000000000000001</v>
      </c>
      <c r="G313" s="11" t="s">
        <v>4</v>
      </c>
      <c r="H313" s="13">
        <v>2000</v>
      </c>
      <c r="I313" s="14">
        <f t="shared" si="9"/>
        <v>1.9689700000000018E-2</v>
      </c>
      <c r="J313" s="13">
        <f t="shared" si="10"/>
        <v>299425.76999999984</v>
      </c>
    </row>
    <row r="314" spans="1:10" x14ac:dyDescent="0.25">
      <c r="A314" s="10">
        <v>44094.541666666664</v>
      </c>
      <c r="B314" s="11" t="s">
        <v>2</v>
      </c>
      <c r="C314" s="11" t="s">
        <v>5</v>
      </c>
      <c r="D314" s="16" t="str">
        <f>HYPERLINK("https://freddywills.com/pick/7463/1-1-free-play-falcons-vs-cowboys-54-30-38-227-l-84-nfl-free-picks-career-65-winners-in.html", "Falcons +3.5 1.1% Free Play ")</f>
        <v xml:space="preserve">Falcons +3.5 1.1% Free Play </v>
      </c>
      <c r="E314" s="11">
        <v>1.1000000000000001</v>
      </c>
      <c r="F314" s="11">
        <v>-1.1000000000000001</v>
      </c>
      <c r="G314" s="11" t="s">
        <v>4</v>
      </c>
      <c r="H314" s="13">
        <v>1000</v>
      </c>
      <c r="I314" s="14">
        <f t="shared" si="9"/>
        <v>-3.1029999999998038E-4</v>
      </c>
      <c r="J314" s="13">
        <f t="shared" si="10"/>
        <v>297425.76999999984</v>
      </c>
    </row>
    <row r="315" spans="1:10" x14ac:dyDescent="0.25">
      <c r="A315" s="10">
        <v>44094.304166666669</v>
      </c>
      <c r="B315" s="11" t="s">
        <v>2</v>
      </c>
      <c r="C315" s="11" t="s">
        <v>10</v>
      </c>
      <c r="D315" s="16" t="str">
        <f>HYPERLINK("https://freddywills.com/pick/7462/3-3-nfl-teaser-of-the-week-guaranteed-or-back-100-71-last-171-teaser-plays-overall.html", "Steelers -0.5 / Cardinals -1 3.3% play")</f>
        <v>Steelers -0.5 / Cardinals -1 3.3% play</v>
      </c>
      <c r="E315" s="11">
        <v>3.3</v>
      </c>
      <c r="F315" s="11">
        <v>-1.1000000000000001</v>
      </c>
      <c r="G315" s="11" t="s">
        <v>4</v>
      </c>
      <c r="H315" s="13">
        <v>3000</v>
      </c>
      <c r="I315" s="14">
        <f t="shared" si="9"/>
        <v>-1.0310299999999981E-2</v>
      </c>
      <c r="J315" s="13">
        <f t="shared" si="10"/>
        <v>296425.76999999984</v>
      </c>
    </row>
    <row r="316" spans="1:10" x14ac:dyDescent="0.25">
      <c r="A316" s="10">
        <v>44093.8125</v>
      </c>
      <c r="B316" s="11" t="s">
        <v>8</v>
      </c>
      <c r="C316" s="11" t="s">
        <v>18</v>
      </c>
      <c r="D316" s="16" t="str">
        <f>HYPERLINK("https://freddywills.com/pick/7456/the-collegegameday-game-of-the-week-miami-vs-louisville-guaranteed-or-back.html", "Louisville -130 3% play ")</f>
        <v xml:space="preserve">Louisville -130 3% play </v>
      </c>
      <c r="E316" s="11">
        <v>3</v>
      </c>
      <c r="F316" s="11">
        <v>-1.3</v>
      </c>
      <c r="G316" s="11" t="s">
        <v>6</v>
      </c>
      <c r="H316" s="13">
        <v>-3000</v>
      </c>
      <c r="I316" s="14">
        <f t="shared" si="9"/>
        <v>-4.0310299999999979E-2</v>
      </c>
      <c r="J316" s="13">
        <f t="shared" si="10"/>
        <v>293425.76999999984</v>
      </c>
    </row>
    <row r="317" spans="1:10" x14ac:dyDescent="0.25">
      <c r="A317" s="10">
        <v>44093.645833333336</v>
      </c>
      <c r="B317" s="11" t="s">
        <v>8</v>
      </c>
      <c r="C317" s="11" t="s">
        <v>5</v>
      </c>
      <c r="D317" s="16" t="str">
        <f>HYPERLINK("https://freddywills.com/pick/7455/georgiatech-vs-ucf-football-guaranteed-or-back-38-27-20-806-l-65-ncaaf-2-bankroll.html", "Georgia Tech +7.5 2.2% play ")</f>
        <v xml:space="preserve">Georgia Tech +7.5 2.2% play </v>
      </c>
      <c r="E317" s="11">
        <v>2.2000000000000002</v>
      </c>
      <c r="F317" s="11">
        <v>-1.1000000000000001</v>
      </c>
      <c r="G317" s="11" t="s">
        <v>6</v>
      </c>
      <c r="H317" s="13">
        <v>-2200</v>
      </c>
      <c r="I317" s="14">
        <f t="shared" si="9"/>
        <v>-1.0310299999999981E-2</v>
      </c>
      <c r="J317" s="13">
        <f t="shared" si="10"/>
        <v>296425.76999999984</v>
      </c>
    </row>
    <row r="318" spans="1:10" x14ac:dyDescent="0.25">
      <c r="A318" s="10">
        <v>44093.645833333336</v>
      </c>
      <c r="B318" s="11" t="s">
        <v>8</v>
      </c>
      <c r="C318" s="11" t="s">
        <v>18</v>
      </c>
      <c r="D318" s="16" t="str">
        <f>HYPERLINK("https://freddywills.com/pick/7457/college-football-dog-of-the-week-alert-guaranteed-or-back-102-131-98-774-l-233-ncaaf-money-l.html", "MTSU +125 2.5% PLAY ")</f>
        <v xml:space="preserve">MTSU +125 2.5% PLAY </v>
      </c>
      <c r="E318" s="11">
        <v>2.5</v>
      </c>
      <c r="F318" s="11">
        <v>1.25</v>
      </c>
      <c r="G318" s="11" t="s">
        <v>6</v>
      </c>
      <c r="H318" s="13">
        <v>-2500</v>
      </c>
      <c r="I318" s="14">
        <f t="shared" si="9"/>
        <v>1.1689700000000018E-2</v>
      </c>
      <c r="J318" s="13">
        <f t="shared" si="10"/>
        <v>298625.76999999984</v>
      </c>
    </row>
    <row r="319" spans="1:10" x14ac:dyDescent="0.25">
      <c r="A319" s="10">
        <v>44093.5</v>
      </c>
      <c r="B319" s="11" t="s">
        <v>8</v>
      </c>
      <c r="C319" s="11" t="s">
        <v>5</v>
      </c>
      <c r="D319" s="16" t="str">
        <f>HYPERLINK("https://freddywills.com/pick/7454/collegefootball-free-pick-of-the-week-70-52-ats-l122-free-sportspicks-liberty-vs-wkufootbal.html", "Liberty +14.5 1.1% Free Play")</f>
        <v>Liberty +14.5 1.1% Free Play</v>
      </c>
      <c r="E319" s="11">
        <v>1.1000000000000001</v>
      </c>
      <c r="F319" s="11">
        <v>-1.1000000000000001</v>
      </c>
      <c r="G319" s="11" t="s">
        <v>4</v>
      </c>
      <c r="H319" s="13">
        <v>1000</v>
      </c>
      <c r="I319" s="14">
        <f>H319/100000+I320</f>
        <v>3.668970000000002E-2</v>
      </c>
      <c r="J319" s="13">
        <f t="shared" si="10"/>
        <v>301125.76999999984</v>
      </c>
    </row>
    <row r="320" spans="1:10" x14ac:dyDescent="0.25">
      <c r="A320" s="10">
        <v>44091.847222222219</v>
      </c>
      <c r="B320" s="11" t="s">
        <v>2</v>
      </c>
      <c r="C320" s="11" t="s">
        <v>5</v>
      </c>
      <c r="D320" s="16" t="str">
        <f>HYPERLINK("https://freddywills.com/pick/7452/thursday-night-football-88-63-73-995-l-151-nfl-picks-bengals-vs-browns-guaranteed-or-back.html", "Browns -6 2.2% play")</f>
        <v>Browns -6 2.2% play</v>
      </c>
      <c r="E320" s="11">
        <v>2.2000000000000002</v>
      </c>
      <c r="F320" s="11">
        <v>-1.1000000000000001</v>
      </c>
      <c r="G320" s="11" t="s">
        <v>6</v>
      </c>
      <c r="H320" s="13">
        <v>-2200</v>
      </c>
      <c r="I320" s="14">
        <f t="shared" ref="I320:I327" si="11">H320/100000+I321</f>
        <v>2.6689700000000018E-2</v>
      </c>
      <c r="J320" s="13">
        <f t="shared" si="10"/>
        <v>300125.76999999984</v>
      </c>
    </row>
    <row r="321" spans="1:10" x14ac:dyDescent="0.25">
      <c r="A321" s="10">
        <v>44088.923611111109</v>
      </c>
      <c r="B321" s="11" t="s">
        <v>2</v>
      </c>
      <c r="C321" s="11" t="s">
        <v>5</v>
      </c>
      <c r="D321" s="16" t="str">
        <f>HYPERLINK("https://freddywills.com/pick/7451/monday-night-football-nfl-broncos-vs-titans-guaranteed-or-back.html", "Broncos +3 +100 2% play ")</f>
        <v xml:space="preserve">Broncos +3 +100 2% play </v>
      </c>
      <c r="E321" s="11">
        <v>2</v>
      </c>
      <c r="F321" s="11">
        <v>1</v>
      </c>
      <c r="G321" s="11" t="s">
        <v>4</v>
      </c>
      <c r="H321" s="13">
        <v>2000</v>
      </c>
      <c r="I321" s="14">
        <f t="shared" si="11"/>
        <v>4.8689700000000016E-2</v>
      </c>
      <c r="J321" s="13">
        <f t="shared" si="10"/>
        <v>302325.76999999984</v>
      </c>
    </row>
    <row r="322" spans="1:10" x14ac:dyDescent="0.25">
      <c r="A322" s="10">
        <v>44087.847222222219</v>
      </c>
      <c r="B322" s="11" t="s">
        <v>2</v>
      </c>
      <c r="C322" s="11" t="s">
        <v>7</v>
      </c>
      <c r="D322" s="16" t="str">
        <f>HYPERLINK("https://freddywills.com/pick/7449/nfl-total-of-the-week-126-83-l209-nfl-picks-in-september-134-7-roi-guaranteed-or-back.html", "Rams/Cowboys O51.5 2.2% play ")</f>
        <v xml:space="preserve">Rams/Cowboys O51.5 2.2% play </v>
      </c>
      <c r="E322" s="11">
        <v>2.2000000000000002</v>
      </c>
      <c r="F322" s="11">
        <v>-1.1000000000000001</v>
      </c>
      <c r="G322" s="11" t="s">
        <v>6</v>
      </c>
      <c r="H322" s="13">
        <v>-2200</v>
      </c>
      <c r="I322" s="14">
        <f t="shared" si="11"/>
        <v>2.8689700000000012E-2</v>
      </c>
      <c r="J322" s="13">
        <f t="shared" si="10"/>
        <v>300325.76999999984</v>
      </c>
    </row>
    <row r="323" spans="1:10" x14ac:dyDescent="0.25">
      <c r="A323" s="10">
        <v>44087.670138888891</v>
      </c>
      <c r="B323" s="11" t="s">
        <v>2</v>
      </c>
      <c r="C323" s="11" t="s">
        <v>5</v>
      </c>
      <c r="D323" s="16" t="str">
        <f>HYPERLINK("https://freddywills.com/pick/7450/3-nfl-money-line-play-guaranteed-or-back-77-9-roi-last-110-nfl-money-lines.html", "Chargers -145 3% play ")</f>
        <v xml:space="preserve">Chargers -145 3% play </v>
      </c>
      <c r="E323" s="11">
        <v>3</v>
      </c>
      <c r="F323" s="11">
        <v>-1.45</v>
      </c>
      <c r="G323" s="11" t="s">
        <v>4</v>
      </c>
      <c r="H323" s="13">
        <v>2068.9699999999998</v>
      </c>
      <c r="I323" s="14">
        <f t="shared" si="11"/>
        <v>5.0689700000000011E-2</v>
      </c>
      <c r="J323" s="13">
        <f t="shared" si="10"/>
        <v>302525.76999999984</v>
      </c>
    </row>
    <row r="324" spans="1:10" x14ac:dyDescent="0.25">
      <c r="A324" s="10">
        <v>44087.541666666664</v>
      </c>
      <c r="B324" s="11" t="s">
        <v>2</v>
      </c>
      <c r="C324" s="11" t="s">
        <v>5</v>
      </c>
      <c r="D324" s="16" t="str">
        <f>HYPERLINK("https://freddywills.com/pick/7446/4-4-nfl-pod-seahawks-vs-falcons-126-83-134-751-l-209-nfl-picks-in-september.html", "Falcons +1 4.4% NFL POD ")</f>
        <v xml:space="preserve">Falcons +1 4.4% NFL POD </v>
      </c>
      <c r="E324" s="11">
        <v>4.4000000000000004</v>
      </c>
      <c r="F324" s="11">
        <v>-1.1000000000000001</v>
      </c>
      <c r="G324" s="11" t="s">
        <v>6</v>
      </c>
      <c r="H324" s="13">
        <v>-4400</v>
      </c>
      <c r="I324" s="14">
        <f t="shared" si="11"/>
        <v>3.0000000000000013E-2</v>
      </c>
      <c r="J324" s="13">
        <f t="shared" si="10"/>
        <v>300456.79999999987</v>
      </c>
    </row>
    <row r="325" spans="1:10" x14ac:dyDescent="0.25">
      <c r="A325" s="10">
        <v>44087.541666666664</v>
      </c>
      <c r="B325" s="11" t="s">
        <v>2</v>
      </c>
      <c r="C325" s="11" t="s">
        <v>10</v>
      </c>
      <c r="D325" s="16" t="str">
        <f>HYPERLINK("https://freddywills.com/pick/7447/nfl-teaser-of-the-week-100-70-77-4-roi-on-teasers-since-2012.html", "Packers +8.5 / 49ers -0.5 3.3% Teaser")</f>
        <v>Packers +8.5 / 49ers -0.5 3.3% Teaser</v>
      </c>
      <c r="E325" s="11">
        <v>3.3</v>
      </c>
      <c r="F325" s="11">
        <v>-1.1000000000000001</v>
      </c>
      <c r="G325" s="11" t="s">
        <v>6</v>
      </c>
      <c r="H325" s="13">
        <v>-3300</v>
      </c>
      <c r="I325" s="14">
        <f t="shared" si="11"/>
        <v>7.400000000000001E-2</v>
      </c>
      <c r="J325" s="13">
        <f t="shared" si="10"/>
        <v>304856.79999999987</v>
      </c>
    </row>
    <row r="326" spans="1:10" x14ac:dyDescent="0.25">
      <c r="A326" s="10">
        <v>44087.541666666664</v>
      </c>
      <c r="B326" s="11" t="s">
        <v>2</v>
      </c>
      <c r="C326" s="11" t="s">
        <v>5</v>
      </c>
      <c r="D326" s="16" t="str">
        <f>HYPERLINK("https://freddywills.com/pick/7448/nfl-free-pick-53-30-l83-free-nfl-picks-washington-vs-eagles.html", "Washington Football Team +6 1.1% Free Play ")</f>
        <v xml:space="preserve">Washington Football Team +6 1.1% Free Play </v>
      </c>
      <c r="E326" s="11">
        <v>1.1000000000000001</v>
      </c>
      <c r="F326" s="11">
        <v>-1.1000000000000001</v>
      </c>
      <c r="G326" s="11" t="s">
        <v>4</v>
      </c>
      <c r="H326" s="13">
        <v>1000</v>
      </c>
      <c r="I326" s="14">
        <f t="shared" si="11"/>
        <v>0.10700000000000001</v>
      </c>
      <c r="J326" s="13">
        <f t="shared" si="10"/>
        <v>308156.79999999987</v>
      </c>
    </row>
    <row r="327" spans="1:10" x14ac:dyDescent="0.25">
      <c r="A327" s="10">
        <v>44086.8125</v>
      </c>
      <c r="B327" s="11" t="s">
        <v>8</v>
      </c>
      <c r="C327" s="11" t="s">
        <v>5</v>
      </c>
      <c r="D327" s="16" t="str">
        <f>HYPERLINK("https://freddywills.com/pick/7442/college-football-free-play-of-the-week-clemson-vs-wakeforest-69-51-l120-free-picks-57-5-19.html", "Clemson -33.5 1.1% Free Play ")</f>
        <v xml:space="preserve">Clemson -33.5 1.1% Free Play </v>
      </c>
      <c r="E327" s="11">
        <v>1.1000000000000001</v>
      </c>
      <c r="F327" s="11">
        <v>-1.1000000000000001</v>
      </c>
      <c r="G327" s="11" t="s">
        <v>6</v>
      </c>
      <c r="H327" s="13">
        <v>-1100</v>
      </c>
      <c r="I327" s="14">
        <f t="shared" si="11"/>
        <v>9.7000000000000017E-2</v>
      </c>
      <c r="J327" s="13">
        <f t="shared" si="10"/>
        <v>307156.79999999987</v>
      </c>
    </row>
    <row r="328" spans="1:10" x14ac:dyDescent="0.25">
      <c r="A328" s="10">
        <v>44086.604166666664</v>
      </c>
      <c r="B328" s="11" t="s">
        <v>8</v>
      </c>
      <c r="C328" s="11" t="s">
        <v>7</v>
      </c>
      <c r="D328" s="16" t="str">
        <f>HYPERLINK("https://freddywills.com/pick/7443/2-2-total-play-dukefootball-vs-ndfootball-guaranteed-or-back-65-48-39-449-l-113-all-spor.html", "Duke / Notre Dame U53.5 2.2% play ")</f>
        <v xml:space="preserve">Duke / Notre Dame U53.5 2.2% play </v>
      </c>
      <c r="E328" s="11">
        <v>2.2000000000000002</v>
      </c>
      <c r="F328" s="11">
        <v>-1.1000000000000001</v>
      </c>
      <c r="G328" s="11" t="s">
        <v>4</v>
      </c>
      <c r="H328" s="13">
        <v>2000</v>
      </c>
      <c r="I328" s="14">
        <f>H328/100000+I329</f>
        <v>0.10800000000000001</v>
      </c>
      <c r="J328" s="13">
        <f t="shared" si="10"/>
        <v>308256.79999999987</v>
      </c>
    </row>
    <row r="329" spans="1:10" x14ac:dyDescent="0.25">
      <c r="A329" s="10">
        <v>44086.5</v>
      </c>
      <c r="B329" s="11" t="s">
        <v>8</v>
      </c>
      <c r="C329" s="11" t="s">
        <v>5</v>
      </c>
      <c r="D329" s="16" t="str">
        <f>HYPERLINK("https://freddywills.com/pick/7445/premium-newsletter-pick-astatefb-vs-kstatefb-217-179-59-roi-l-396-ncaaf-picks-in-september.html", "Arkansas State +13 2.2% play")</f>
        <v>Arkansas State +13 2.2% play</v>
      </c>
      <c r="E329" s="11">
        <v>2.2000000000000002</v>
      </c>
      <c r="F329" s="11">
        <v>-1.1000000000000001</v>
      </c>
      <c r="G329" s="11" t="s">
        <v>4</v>
      </c>
      <c r="H329" s="13">
        <v>2000</v>
      </c>
      <c r="I329" s="14">
        <f>H329/100000+I330</f>
        <v>8.8000000000000009E-2</v>
      </c>
      <c r="J329" s="13">
        <f t="shared" si="10"/>
        <v>306256.79999999987</v>
      </c>
    </row>
    <row r="330" spans="1:10" x14ac:dyDescent="0.25">
      <c r="A330" s="10">
        <v>44085.65902777778</v>
      </c>
      <c r="B330" s="11" t="s">
        <v>8</v>
      </c>
      <c r="C330" s="11" t="s">
        <v>5</v>
      </c>
      <c r="D330" s="16" t="str">
        <f>HYPERLINK("https://freddywills.com/pick/7444/3-3-theacc-game-of-the-week-georgiatechfb-vs-fsufootball-guaranteed-or-back-104-77-l181-3.html", "Georgia Tech +13 3.3% play ")</f>
        <v xml:space="preserve">Georgia Tech +13 3.3% play </v>
      </c>
      <c r="E330" s="11">
        <v>3.3</v>
      </c>
      <c r="F330" s="11">
        <v>-1.1000000000000001</v>
      </c>
      <c r="G330" s="11" t="s">
        <v>4</v>
      </c>
      <c r="H330" s="13">
        <v>3000</v>
      </c>
      <c r="I330" s="14">
        <f>H330/100000+I331</f>
        <v>6.8000000000000005E-2</v>
      </c>
      <c r="J330" s="13">
        <f t="shared" si="10"/>
        <v>304256.79999999987</v>
      </c>
    </row>
    <row r="331" spans="1:10" x14ac:dyDescent="0.25">
      <c r="A331" s="10">
        <v>44084.834027777775</v>
      </c>
      <c r="B331" s="11" t="s">
        <v>8</v>
      </c>
      <c r="C331" s="11" t="s">
        <v>7</v>
      </c>
      <c r="D331" s="16" t="str">
        <f>HYPERLINK("https://freddywills.com/pick/7441/canesfootball-vs-uab-fb-guaranteed-or-back-30-16-l46-september-picks.html", "Miami / UAB Under 54.5pts 2.2% play ")</f>
        <v xml:space="preserve">Miami / UAB Under 54.5pts 2.2% play </v>
      </c>
      <c r="E331" s="11">
        <v>2.2000000000000002</v>
      </c>
      <c r="F331" s="11">
        <v>-1.1000000000000001</v>
      </c>
      <c r="G331" s="11" t="s">
        <v>4</v>
      </c>
      <c r="H331" s="13">
        <v>2000</v>
      </c>
      <c r="I331" s="14">
        <f>(H331/I335)+(I332)</f>
        <v>3.8000000000000006E-2</v>
      </c>
      <c r="J331" s="13">
        <f t="shared" si="10"/>
        <v>301256.79999999987</v>
      </c>
    </row>
    <row r="332" spans="1:10" x14ac:dyDescent="0.25">
      <c r="A332" s="10">
        <v>44081.833333333336</v>
      </c>
      <c r="B332" s="11" t="s">
        <v>8</v>
      </c>
      <c r="C332" s="11" t="s">
        <v>5</v>
      </c>
      <c r="D332" s="16" t="str">
        <f>HYPERLINK("https://freddywills.com/pick/7440/byufootball-vs-navyfb-guaranteed-or-back-426-330-225-509-l-756-all-sports-picks-in-septe.html", "Navy +1 2.2% play")</f>
        <v>Navy +1 2.2% play</v>
      </c>
      <c r="E332" s="11">
        <v>2.2000000000000002</v>
      </c>
      <c r="F332" s="11">
        <v>-1.1000000000000001</v>
      </c>
      <c r="G332" s="11" t="s">
        <v>6</v>
      </c>
      <c r="H332" s="13">
        <v>-2200</v>
      </c>
      <c r="I332" s="14">
        <f>(H332/I335)+I333</f>
        <v>1.8000000000000002E-2</v>
      </c>
      <c r="J332" s="13">
        <f t="shared" si="10"/>
        <v>299256.79999999987</v>
      </c>
    </row>
    <row r="333" spans="1:10" x14ac:dyDescent="0.25">
      <c r="A333" s="10">
        <v>44079.833333333336</v>
      </c>
      <c r="B333" s="11" t="s">
        <v>8</v>
      </c>
      <c r="C333" s="11" t="s">
        <v>5</v>
      </c>
      <c r="D333" s="16" t="str">
        <f>HYPERLINK("https://freddywills.com/pick/7439/astatefb-vs-memphisfb-premium-play-guaranteed-or-back-214-178-55-262-l-392-ncaaf-picks-i.html", "Arkansas State +18.5 2.2% play ")</f>
        <v xml:space="preserve">Arkansas State +18.5 2.2% play </v>
      </c>
      <c r="E333" s="11">
        <v>2.2000000000000002</v>
      </c>
      <c r="F333" s="11">
        <v>-1.1000000000000001</v>
      </c>
      <c r="G333" s="11" t="s">
        <v>4</v>
      </c>
      <c r="H333" s="13">
        <v>2000</v>
      </c>
      <c r="I333" s="14">
        <f>I334+(H333/I335)</f>
        <v>0.04</v>
      </c>
      <c r="J333" s="13">
        <f>H333+J334</f>
        <v>301456.79999999987</v>
      </c>
    </row>
    <row r="334" spans="1:10" x14ac:dyDescent="0.25">
      <c r="A334" s="10">
        <v>44079.5625</v>
      </c>
      <c r="B334" s="11" t="s">
        <v>8</v>
      </c>
      <c r="C334" s="11" t="s">
        <v>5</v>
      </c>
      <c r="D334" s="16" t="str">
        <f>HYPERLINK("https://freddywills.com/pick/7438/2-play-army-vs-mtsu-guaranteed-or-back-55-41-l96-sports-picks-in-the-month-of-september.html", "Army -3.5 2.2% play ")</f>
        <v xml:space="preserve">Army -3.5 2.2% play </v>
      </c>
      <c r="E334" s="11">
        <v>2.2000000000000002</v>
      </c>
      <c r="F334" s="11">
        <v>-1.1000000000000001</v>
      </c>
      <c r="G334" s="11" t="s">
        <v>4</v>
      </c>
      <c r="H334" s="13">
        <v>2000</v>
      </c>
      <c r="I334" s="14">
        <f>H334/100000</f>
        <v>0.02</v>
      </c>
      <c r="J334" s="13">
        <f>H334+J337</f>
        <v>299456.79999999987</v>
      </c>
    </row>
    <row r="335" spans="1:10" x14ac:dyDescent="0.25">
      <c r="A335" s="17" t="s">
        <v>22</v>
      </c>
      <c r="B335" s="18"/>
      <c r="C335" s="18"/>
      <c r="D335" s="18"/>
      <c r="E335" s="18"/>
      <c r="F335" s="18"/>
      <c r="G335" s="18"/>
      <c r="H335" s="18"/>
      <c r="I335" s="19">
        <v>100000</v>
      </c>
      <c r="J335" s="17"/>
    </row>
    <row r="336" spans="1:10" x14ac:dyDescent="0.25">
      <c r="A336" s="8" t="s">
        <v>20</v>
      </c>
      <c r="B336" s="9"/>
      <c r="C336" s="9"/>
      <c r="D336" s="9"/>
      <c r="E336" s="9"/>
      <c r="F336" s="9"/>
      <c r="G336" s="9"/>
      <c r="H336" s="9"/>
      <c r="I336" s="9"/>
      <c r="J336" s="9"/>
    </row>
    <row r="337" spans="1:10" x14ac:dyDescent="0.25">
      <c r="A337" s="10">
        <v>43863.844444444447</v>
      </c>
      <c r="B337" s="11" t="s">
        <v>2</v>
      </c>
      <c r="C337" s="11" t="s">
        <v>7</v>
      </c>
      <c r="D337" s="16" t="str">
        <f>HYPERLINK("https://freddywills.com/pick/7432/nfl-super-bowl-2nd-half-total-play.html", "Over 26.5 pts 2nd half")</f>
        <v>Over 26.5 pts 2nd half</v>
      </c>
      <c r="E337" s="11">
        <v>2.2000000000000002</v>
      </c>
      <c r="F337" s="11">
        <v>-1.1000000000000001</v>
      </c>
      <c r="G337" s="11" t="s">
        <v>4</v>
      </c>
      <c r="H337" s="13">
        <v>2000</v>
      </c>
      <c r="I337" s="14">
        <f t="shared" ref="I337:I400" si="12">(H337/100000)+I338</f>
        <v>-0.30793060000000011</v>
      </c>
      <c r="J337" s="13">
        <f t="shared" ref="J337:J400" si="13">H337+J338</f>
        <v>297456.79999999987</v>
      </c>
    </row>
    <row r="338" spans="1:10" x14ac:dyDescent="0.25">
      <c r="A338" s="10">
        <v>43863.772916666669</v>
      </c>
      <c r="B338" s="11" t="s">
        <v>2</v>
      </c>
      <c r="C338" s="11" t="s">
        <v>3</v>
      </c>
      <c r="D338" s="16" t="str">
        <f>HYPERLINK("https://freddywills.com/pick/7431/nfl-super-bowl-4-play-prop-package.html", "Mahomes U32.5 rushing yards +105 1% play")</f>
        <v>Mahomes U32.5 rushing yards +105 1% play</v>
      </c>
      <c r="E338" s="11">
        <v>1</v>
      </c>
      <c r="F338" s="11">
        <v>1.05</v>
      </c>
      <c r="G338" s="11" t="s">
        <v>4</v>
      </c>
      <c r="H338" s="13">
        <v>1050</v>
      </c>
      <c r="I338" s="14">
        <f t="shared" si="12"/>
        <v>-0.32793060000000013</v>
      </c>
      <c r="J338" s="13">
        <f t="shared" si="13"/>
        <v>295456.79999999987</v>
      </c>
    </row>
    <row r="339" spans="1:10" x14ac:dyDescent="0.25">
      <c r="A339" s="10">
        <v>43863.770833333336</v>
      </c>
      <c r="B339" s="11" t="s">
        <v>2</v>
      </c>
      <c r="C339" s="11" t="s">
        <v>18</v>
      </c>
      <c r="D339" s="16" t="str">
        <f>HYPERLINK("https://freddywills.com/pick/7430/5-5-nfl-pod-guaranteed-or-back-74-53-96-886-l-127-max-rated-nfl-picks.html", "Chiefs -118 5.5% NFL POD")</f>
        <v>Chiefs -118 5.5% NFL POD</v>
      </c>
      <c r="E339" s="11">
        <v>5.5</v>
      </c>
      <c r="F339" s="11">
        <v>-1.18</v>
      </c>
      <c r="G339" s="11" t="s">
        <v>4</v>
      </c>
      <c r="H339" s="13">
        <v>4661.0200000000004</v>
      </c>
      <c r="I339" s="14">
        <f t="shared" si="12"/>
        <v>-0.33843060000000014</v>
      </c>
      <c r="J339" s="13">
        <f t="shared" si="13"/>
        <v>294406.79999999987</v>
      </c>
    </row>
    <row r="340" spans="1:10" x14ac:dyDescent="0.25">
      <c r="A340" s="10">
        <v>43863.770833333336</v>
      </c>
      <c r="B340" s="11" t="s">
        <v>2</v>
      </c>
      <c r="C340" s="11" t="s">
        <v>3</v>
      </c>
      <c r="D340" s="16" t="str">
        <f>HYPERLINK("https://freddywills.com/pick/7433/prop-package-super-bowl.html", "Mahomes O2.5 pass TD +105 0.5% play")</f>
        <v>Mahomes O2.5 pass TD +105 0.5% play</v>
      </c>
      <c r="E340" s="11">
        <v>0.5</v>
      </c>
      <c r="F340" s="11">
        <v>1.05</v>
      </c>
      <c r="G340" s="11" t="s">
        <v>6</v>
      </c>
      <c r="H340" s="13">
        <v>-500</v>
      </c>
      <c r="I340" s="14">
        <f t="shared" si="12"/>
        <v>-0.38504080000000013</v>
      </c>
      <c r="J340" s="13">
        <f t="shared" si="13"/>
        <v>289745.77999999985</v>
      </c>
    </row>
    <row r="341" spans="1:10" x14ac:dyDescent="0.25">
      <c r="A341" s="10">
        <v>43863.770833333336</v>
      </c>
      <c r="B341" s="11" t="s">
        <v>2</v>
      </c>
      <c r="C341" s="11" t="s">
        <v>3</v>
      </c>
      <c r="D341" s="16" t="str">
        <f>HYPERLINK("https://freddywills.com/pick/7434/prop-play-3.html", "Mostert will score a TD -165 1% play")</f>
        <v>Mostert will score a TD -165 1% play</v>
      </c>
      <c r="E341" s="11">
        <v>1</v>
      </c>
      <c r="F341" s="11">
        <v>-1.65</v>
      </c>
      <c r="G341" s="11" t="s">
        <v>4</v>
      </c>
      <c r="H341" s="13">
        <v>606</v>
      </c>
      <c r="I341" s="14">
        <f t="shared" si="12"/>
        <v>-0.38004080000000012</v>
      </c>
      <c r="J341" s="13">
        <f t="shared" si="13"/>
        <v>290245.77999999985</v>
      </c>
    </row>
    <row r="342" spans="1:10" x14ac:dyDescent="0.25">
      <c r="A342" s="10">
        <v>43863.770833333336</v>
      </c>
      <c r="B342" s="11" t="s">
        <v>2</v>
      </c>
      <c r="C342" s="11" t="s">
        <v>3</v>
      </c>
      <c r="D342" s="16" t="str">
        <f>HYPERLINK("https://freddywills.com/pick/7435/prop-play-4.html", "Garoppolo Over 19.5 receptions -115 0.5% play ")</f>
        <v xml:space="preserve">Garoppolo Over 19.5 receptions -115 0.5% play </v>
      </c>
      <c r="E342" s="11">
        <v>0.5</v>
      </c>
      <c r="F342" s="11">
        <v>-1.1499999999999999</v>
      </c>
      <c r="G342" s="11" t="s">
        <v>4</v>
      </c>
      <c r="H342" s="13">
        <v>435</v>
      </c>
      <c r="I342" s="14">
        <f t="shared" si="12"/>
        <v>-0.38610080000000013</v>
      </c>
      <c r="J342" s="13">
        <f t="shared" si="13"/>
        <v>289639.77999999985</v>
      </c>
    </row>
    <row r="343" spans="1:10" x14ac:dyDescent="0.25">
      <c r="A343" s="10">
        <v>43849.777777777781</v>
      </c>
      <c r="B343" s="11" t="s">
        <v>2</v>
      </c>
      <c r="C343" s="11" t="s">
        <v>7</v>
      </c>
      <c r="D343" s="16" t="str">
        <f>HYPERLINK("https://freddywills.com/pick/7427/5-5-max-nfl-pod-74-52-102-386-l-126-max-rated-nfl-picks.html", "Packers /49ers Under 46.5 5.5% NFL POD")</f>
        <v>Packers /49ers Under 46.5 5.5% NFL POD</v>
      </c>
      <c r="E343" s="11">
        <v>5.5</v>
      </c>
      <c r="F343" s="11">
        <v>-1.1000000000000001</v>
      </c>
      <c r="G343" s="11" t="s">
        <v>6</v>
      </c>
      <c r="H343" s="13">
        <v>-5500</v>
      </c>
      <c r="I343" s="14">
        <f t="shared" si="12"/>
        <v>-0.39045080000000015</v>
      </c>
      <c r="J343" s="13">
        <f t="shared" si="13"/>
        <v>289204.77999999985</v>
      </c>
    </row>
    <row r="344" spans="1:10" x14ac:dyDescent="0.25">
      <c r="A344" s="10">
        <v>43849.777777777781</v>
      </c>
      <c r="B344" s="11" t="s">
        <v>2</v>
      </c>
      <c r="C344" s="11" t="s">
        <v>5</v>
      </c>
      <c r="D344" s="16" t="str">
        <f>HYPERLINK("https://freddywills.com/pick/7429/2-2-play-packers-vs-49ers-guaranteed-or-back-51-38-26-556-l-89-all-sports-2-bankroll.html", "Packers +8 2.2% play ")</f>
        <v xml:space="preserve">Packers +8 2.2% play </v>
      </c>
      <c r="E344" s="11">
        <v>2.2000000000000002</v>
      </c>
      <c r="F344" s="11">
        <v>-1.1000000000000001</v>
      </c>
      <c r="G344" s="11" t="s">
        <v>6</v>
      </c>
      <c r="H344" s="13">
        <v>-2200</v>
      </c>
      <c r="I344" s="14">
        <f t="shared" si="12"/>
        <v>-0.33545080000000016</v>
      </c>
      <c r="J344" s="13">
        <f t="shared" si="13"/>
        <v>294704.77999999985</v>
      </c>
    </row>
    <row r="345" spans="1:10" x14ac:dyDescent="0.25">
      <c r="A345" s="10">
        <v>43849.628472222219</v>
      </c>
      <c r="B345" s="11" t="s">
        <v>2</v>
      </c>
      <c r="C345" s="11" t="s">
        <v>5</v>
      </c>
      <c r="D345" s="16" t="str">
        <f>HYPERLINK("https://freddywills.com/pick/7428/chiefs-vs-titans-3-3-play-guaranteed-or-back-72-58-36-650-l-130-nfl-3-bankroll.html", "Titans +7 3.3% play ")</f>
        <v xml:space="preserve">Titans +7 3.3% play </v>
      </c>
      <c r="E345" s="11">
        <v>3.3</v>
      </c>
      <c r="F345" s="11">
        <v>-1.1000000000000001</v>
      </c>
      <c r="G345" s="11" t="s">
        <v>6</v>
      </c>
      <c r="H345" s="13">
        <v>-3300</v>
      </c>
      <c r="I345" s="14">
        <f t="shared" si="12"/>
        <v>-0.31345080000000014</v>
      </c>
      <c r="J345" s="13">
        <f t="shared" si="13"/>
        <v>296904.77999999985</v>
      </c>
    </row>
    <row r="346" spans="1:10" x14ac:dyDescent="0.25">
      <c r="A346" s="10">
        <v>43843.833333333336</v>
      </c>
      <c r="B346" s="11" t="s">
        <v>8</v>
      </c>
      <c r="C346" s="11" t="s">
        <v>5</v>
      </c>
      <c r="D346" s="16" t="str">
        <f>HYPERLINK("https://freddywills.com/pick/7425/5-5-max-ncaaf-pod-9-1-ats-career-national-championship-guaranteed-or-back.html", "Clemson +5.5 5.5% NCAAF POD")</f>
        <v>Clemson +5.5 5.5% NCAAF POD</v>
      </c>
      <c r="E346" s="11">
        <v>5.5</v>
      </c>
      <c r="F346" s="11">
        <v>-1.1000000000000001</v>
      </c>
      <c r="G346" s="11" t="s">
        <v>6</v>
      </c>
      <c r="H346" s="13">
        <v>-5500</v>
      </c>
      <c r="I346" s="14">
        <f t="shared" si="12"/>
        <v>-0.28045080000000017</v>
      </c>
      <c r="J346" s="13">
        <f t="shared" si="13"/>
        <v>300204.77999999985</v>
      </c>
    </row>
    <row r="347" spans="1:10" x14ac:dyDescent="0.25">
      <c r="A347" s="10">
        <v>43843.833333333336</v>
      </c>
      <c r="B347" s="11" t="s">
        <v>8</v>
      </c>
      <c r="C347" s="11" t="s">
        <v>3</v>
      </c>
      <c r="D347" s="16" t="str">
        <f>HYPERLINK("https://freddywills.com/pick/7426/clemson-vs-lsu-prop-play-2-play.html", "Clyde Edwards-Helaire rushing yards U95.5 2% play -125")</f>
        <v>Clyde Edwards-Helaire rushing yards U95.5 2% play -125</v>
      </c>
      <c r="E347" s="11">
        <v>2</v>
      </c>
      <c r="F347" s="11">
        <v>-1.25</v>
      </c>
      <c r="G347" s="11" t="s">
        <v>6</v>
      </c>
      <c r="H347" s="13">
        <v>-2000</v>
      </c>
      <c r="I347" s="14">
        <f t="shared" si="12"/>
        <v>-0.22545080000000015</v>
      </c>
      <c r="J347" s="13">
        <f t="shared" si="13"/>
        <v>305704.77999999985</v>
      </c>
    </row>
    <row r="348" spans="1:10" x14ac:dyDescent="0.25">
      <c r="A348" s="10">
        <v>43842.777777777781</v>
      </c>
      <c r="B348" s="11" t="s">
        <v>2</v>
      </c>
      <c r="C348" s="11" t="s">
        <v>18</v>
      </c>
      <c r="D348" s="16" t="str">
        <f>HYPERLINK("https://freddywills.com/pick/7424/4-play-seahawks-vs-packers-guaranteed-or-back.html", "Packers -205 4% play ")</f>
        <v xml:space="preserve">Packers -205 4% play </v>
      </c>
      <c r="E348" s="11">
        <v>4</v>
      </c>
      <c r="F348" s="11">
        <v>-2.0499999999999998</v>
      </c>
      <c r="G348" s="11" t="s">
        <v>4</v>
      </c>
      <c r="H348" s="13">
        <v>1951.22</v>
      </c>
      <c r="I348" s="14">
        <f t="shared" si="12"/>
        <v>-0.20545080000000016</v>
      </c>
      <c r="J348" s="13">
        <f t="shared" si="13"/>
        <v>307704.77999999985</v>
      </c>
    </row>
    <row r="349" spans="1:10" x14ac:dyDescent="0.25">
      <c r="A349" s="10">
        <v>43842.652777777781</v>
      </c>
      <c r="B349" s="11" t="s">
        <v>2</v>
      </c>
      <c r="C349" s="11" t="s">
        <v>7</v>
      </c>
      <c r="D349" s="16" t="str">
        <f>HYPERLINK("https://freddywills.com/pick/7421/nfl-total-play-of-the-week-guaranteed-or-back.html", "Chiefs / Texans Over 51 3.3% play ")</f>
        <v xml:space="preserve">Chiefs / Texans Over 51 3.3% play </v>
      </c>
      <c r="E349" s="11">
        <v>3.3</v>
      </c>
      <c r="F349" s="11">
        <v>-1.1000000000000001</v>
      </c>
      <c r="G349" s="11" t="s">
        <v>4</v>
      </c>
      <c r="H349" s="13">
        <v>3000</v>
      </c>
      <c r="I349" s="14">
        <f t="shared" si="12"/>
        <v>-0.22496300000000016</v>
      </c>
      <c r="J349" s="13">
        <f t="shared" si="13"/>
        <v>305753.55999999988</v>
      </c>
    </row>
    <row r="350" spans="1:10" x14ac:dyDescent="0.25">
      <c r="A350" s="10">
        <v>43841.84375</v>
      </c>
      <c r="B350" s="11" t="s">
        <v>2</v>
      </c>
      <c r="C350" s="11" t="s">
        <v>5</v>
      </c>
      <c r="D350" s="16" t="str">
        <f>HYPERLINK("https://freddywills.com/pick/7422/3-3-play-titans-vs-ravens-guaranteed-or-back-111-87-75-997-l-198-nfl.html", "Titans +10 3.3% play ")</f>
        <v xml:space="preserve">Titans +10 3.3% play </v>
      </c>
      <c r="E350" s="11">
        <v>3.3</v>
      </c>
      <c r="F350" s="11">
        <v>-1.1000000000000001</v>
      </c>
      <c r="G350" s="11" t="s">
        <v>4</v>
      </c>
      <c r="H350" s="13">
        <v>3000</v>
      </c>
      <c r="I350" s="14">
        <f t="shared" si="12"/>
        <v>-0.25496300000000016</v>
      </c>
      <c r="J350" s="13">
        <f t="shared" si="13"/>
        <v>302753.55999999988</v>
      </c>
    </row>
    <row r="351" spans="1:10" x14ac:dyDescent="0.25">
      <c r="A351" s="10">
        <v>43841.690972222219</v>
      </c>
      <c r="B351" s="11" t="s">
        <v>2</v>
      </c>
      <c r="C351" s="11" t="s">
        <v>5</v>
      </c>
      <c r="D351" s="16" t="str">
        <f>HYPERLINK("https://freddywills.com/pick/7423/vikings-vs-49ers-guaranteed-or-back.html", "Vikings +7 2.2% play ")</f>
        <v xml:space="preserve">Vikings +7 2.2% play </v>
      </c>
      <c r="E351" s="11">
        <v>2.2000000000000002</v>
      </c>
      <c r="F351" s="11">
        <v>-1.1000000000000001</v>
      </c>
      <c r="G351" s="11" t="s">
        <v>6</v>
      </c>
      <c r="H351" s="13">
        <v>-2200</v>
      </c>
      <c r="I351" s="14">
        <f t="shared" si="12"/>
        <v>-0.28496300000000019</v>
      </c>
      <c r="J351" s="13">
        <f t="shared" si="13"/>
        <v>299753.55999999988</v>
      </c>
    </row>
    <row r="352" spans="1:10" x14ac:dyDescent="0.25">
      <c r="A352" s="10">
        <v>43835.541666666664</v>
      </c>
      <c r="B352" s="11" t="s">
        <v>2</v>
      </c>
      <c r="C352" s="11" t="s">
        <v>5</v>
      </c>
      <c r="D352" s="16" t="str">
        <f>HYPERLINK("https://freddywills.com/pick/7420/3-3-nfl-early-bird-divisional-play-vikings-vs-saints-guaranteed-or-back.html", "Vikings +8 3.3% play ")</f>
        <v xml:space="preserve">Vikings +8 3.3% play </v>
      </c>
      <c r="E352" s="11">
        <v>3.3</v>
      </c>
      <c r="F352" s="11">
        <v>-1.1000000000000001</v>
      </c>
      <c r="G352" s="11" t="s">
        <v>4</v>
      </c>
      <c r="H352" s="13">
        <v>3000</v>
      </c>
      <c r="I352" s="14">
        <f t="shared" si="12"/>
        <v>-0.26296300000000017</v>
      </c>
      <c r="J352" s="13">
        <f t="shared" si="13"/>
        <v>301953.55999999988</v>
      </c>
    </row>
    <row r="353" spans="1:10" x14ac:dyDescent="0.25">
      <c r="A353" s="10">
        <v>43834.84375</v>
      </c>
      <c r="B353" s="11" t="s">
        <v>2</v>
      </c>
      <c r="C353" s="11" t="s">
        <v>5</v>
      </c>
      <c r="D353" s="16" t="str">
        <f>HYPERLINK("https://freddywills.com/pick/7419/nfl-free-play-of-the-weekend-53-29-38-327-l-82-nfl-free-picks.html", "Patriots -4.5 1.1% play ")</f>
        <v xml:space="preserve">Patriots -4.5 1.1% play </v>
      </c>
      <c r="E353" s="11">
        <v>1.1000000000000001</v>
      </c>
      <c r="F353" s="11">
        <v>-1.1000000000000001</v>
      </c>
      <c r="G353" s="11" t="s">
        <v>6</v>
      </c>
      <c r="H353" s="13">
        <v>-1100</v>
      </c>
      <c r="I353" s="14">
        <f t="shared" si="12"/>
        <v>-0.29296300000000014</v>
      </c>
      <c r="J353" s="13">
        <f t="shared" si="13"/>
        <v>298953.55999999988</v>
      </c>
    </row>
    <row r="354" spans="1:10" x14ac:dyDescent="0.25">
      <c r="A354" s="10">
        <v>43834.690972222219</v>
      </c>
      <c r="B354" s="11" t="s">
        <v>2</v>
      </c>
      <c r="C354" s="11" t="s">
        <v>5</v>
      </c>
      <c r="D354" s="16" t="str">
        <f>HYPERLINK("https://freddywills.com/pick/7417/4-4-nfl-teaser-of-the-week-guaranteed-or-back-100-70-77-421-l-170-all-sports-teasers.html", "Bills +8.5 / Eagles +7.5 4.4% Teaser of the Week ")</f>
        <v xml:space="preserve">Bills +8.5 / Eagles +7.5 4.4% Teaser of the Week </v>
      </c>
      <c r="E354" s="11">
        <v>4.4000000000000004</v>
      </c>
      <c r="F354" s="11">
        <v>-1.1000000000000001</v>
      </c>
      <c r="G354" s="11" t="s">
        <v>6</v>
      </c>
      <c r="H354" s="13">
        <v>-4400</v>
      </c>
      <c r="I354" s="14">
        <f t="shared" si="12"/>
        <v>-0.28196300000000013</v>
      </c>
      <c r="J354" s="13">
        <f t="shared" si="13"/>
        <v>300053.55999999988</v>
      </c>
    </row>
    <row r="355" spans="1:10" x14ac:dyDescent="0.25">
      <c r="A355" s="10">
        <v>43834.479166666664</v>
      </c>
      <c r="B355" s="11" t="s">
        <v>8</v>
      </c>
      <c r="C355" s="11" t="s">
        <v>5</v>
      </c>
      <c r="D355" s="16" t="str">
        <f>HYPERLINK("https://freddywills.com/pick/7416/battle-of-the-bell-tulane-vs-smiss-guaranteed-or-back.html", "Southern Miss +7.5 3.3% play ")</f>
        <v xml:space="preserve">Southern Miss +7.5 3.3% play </v>
      </c>
      <c r="E355" s="11">
        <v>3.3</v>
      </c>
      <c r="F355" s="11">
        <v>-1.1000000000000001</v>
      </c>
      <c r="G355" s="11" t="s">
        <v>6</v>
      </c>
      <c r="H355" s="13">
        <v>-3300</v>
      </c>
      <c r="I355" s="14">
        <f t="shared" si="12"/>
        <v>-0.23796300000000012</v>
      </c>
      <c r="J355" s="13">
        <f t="shared" si="13"/>
        <v>304453.55999999988</v>
      </c>
    </row>
    <row r="356" spans="1:10" x14ac:dyDescent="0.25">
      <c r="A356" s="10">
        <v>43834.44027777778</v>
      </c>
      <c r="B356" s="11" t="s">
        <v>2</v>
      </c>
      <c r="C356" s="11" t="s">
        <v>7</v>
      </c>
      <c r="D356" s="16" t="str">
        <f>HYPERLINK("https://freddywills.com/pick/7418/patriots-vs-titans-total-play-19-13-21-300-l-32-nfl-totals.html", "Patriots / Titans Over 44.5 2.2% play ")</f>
        <v xml:space="preserve">Patriots / Titans Over 44.5 2.2% play </v>
      </c>
      <c r="E356" s="11">
        <v>2.2000000000000002</v>
      </c>
      <c r="F356" s="11">
        <v>-1.1000000000000001</v>
      </c>
      <c r="G356" s="11" t="s">
        <v>6</v>
      </c>
      <c r="H356" s="13">
        <v>-2200</v>
      </c>
      <c r="I356" s="14">
        <f t="shared" si="12"/>
        <v>-0.20496300000000012</v>
      </c>
      <c r="J356" s="13">
        <f t="shared" si="13"/>
        <v>307753.55999999988</v>
      </c>
    </row>
    <row r="357" spans="1:10" x14ac:dyDescent="0.25">
      <c r="A357" s="10">
        <v>43832.8125</v>
      </c>
      <c r="B357" s="11" t="s">
        <v>8</v>
      </c>
      <c r="C357" s="11" t="s">
        <v>5</v>
      </c>
      <c r="D357" s="16" t="str">
        <f>HYPERLINK("https://freddywills.com/pick/7415/gator-bowl-tennessee-vs-indiana-guaranteed-or-back-only-10.html", "Tennessee -3.5 2.2% play ")</f>
        <v xml:space="preserve">Tennessee -3.5 2.2% play </v>
      </c>
      <c r="E357" s="11">
        <v>2.2000000000000002</v>
      </c>
      <c r="F357" s="11">
        <v>-1.1000000000000001</v>
      </c>
      <c r="G357" s="11" t="s">
        <v>6</v>
      </c>
      <c r="H357" s="13">
        <v>-2200</v>
      </c>
      <c r="I357" s="14">
        <f t="shared" si="12"/>
        <v>-0.18296300000000013</v>
      </c>
      <c r="J357" s="13">
        <f t="shared" si="13"/>
        <v>309953.55999999988</v>
      </c>
    </row>
    <row r="358" spans="1:10" x14ac:dyDescent="0.25">
      <c r="A358" s="10">
        <v>43832.804861111108</v>
      </c>
      <c r="B358" s="11" t="s">
        <v>8</v>
      </c>
      <c r="C358" s="11" t="s">
        <v>18</v>
      </c>
      <c r="D358" s="16" t="str">
        <f>HYPERLINK("https://freddywills.com/pick/7412/rosebowl-5-5-ncaaf-pod-guaranteed-or-back-73-52-109-338-l-125-max-rated-all-sports-pic.html", "Wisconsin -140 5.5% NCAAF POD")</f>
        <v>Wisconsin -140 5.5% NCAAF POD</v>
      </c>
      <c r="E358" s="11">
        <v>5.5</v>
      </c>
      <c r="F358" s="11">
        <v>-1.4</v>
      </c>
      <c r="G358" s="11" t="s">
        <v>6</v>
      </c>
      <c r="H358" s="13">
        <v>-5500</v>
      </c>
      <c r="I358" s="14">
        <f t="shared" si="12"/>
        <v>-0.16096300000000013</v>
      </c>
      <c r="J358" s="13">
        <f t="shared" si="13"/>
        <v>312153.55999999988</v>
      </c>
    </row>
    <row r="359" spans="1:10" x14ac:dyDescent="0.25">
      <c r="A359" s="10">
        <v>43832.625</v>
      </c>
      <c r="B359" s="11" t="s">
        <v>8</v>
      </c>
      <c r="C359" s="11" t="s">
        <v>5</v>
      </c>
      <c r="D359" s="16" t="str">
        <f>HYPERLINK("https://freddywills.com/pick/7414/birmingham-bowl-4-4-ncaaf-pod-guaranteed-or-back-bostoncollege-vs-cincinnati.html", "Boston College +7.5 4.4% NCAAF POD")</f>
        <v>Boston College +7.5 4.4% NCAAF POD</v>
      </c>
      <c r="E359" s="11">
        <v>4.4000000000000004</v>
      </c>
      <c r="F359" s="11">
        <v>-1.1000000000000001</v>
      </c>
      <c r="G359" s="11" t="s">
        <v>6</v>
      </c>
      <c r="H359" s="13">
        <v>-4400</v>
      </c>
      <c r="I359" s="14">
        <f t="shared" si="12"/>
        <v>-0.10596300000000013</v>
      </c>
      <c r="J359" s="13">
        <f t="shared" si="13"/>
        <v>317653.55999999988</v>
      </c>
    </row>
    <row r="360" spans="1:10" x14ac:dyDescent="0.25">
      <c r="A360" s="10">
        <v>43831.864583333336</v>
      </c>
      <c r="B360" s="11" t="s">
        <v>8</v>
      </c>
      <c r="C360" s="11" t="s">
        <v>5</v>
      </c>
      <c r="D360" s="16" t="str">
        <f>HYPERLINK("https://freddywills.com/pick/7413/sugar-bowl-7-4-lifetime-georgia-vs-baylor-guaranteed-or-back.html", "Georgia -4 3.3% play ")</f>
        <v xml:space="preserve">Georgia -4 3.3% play </v>
      </c>
      <c r="E360" s="11">
        <v>3.3</v>
      </c>
      <c r="F360" s="11">
        <v>-1.1000000000000001</v>
      </c>
      <c r="G360" s="11" t="s">
        <v>4</v>
      </c>
      <c r="H360" s="13">
        <v>3000</v>
      </c>
      <c r="I360" s="14">
        <f t="shared" si="12"/>
        <v>-6.1963000000000129E-2</v>
      </c>
      <c r="J360" s="13">
        <f t="shared" si="13"/>
        <v>322053.55999999988</v>
      </c>
    </row>
    <row r="361" spans="1:10" x14ac:dyDescent="0.25">
      <c r="A361" s="10">
        <v>43831.541666666664</v>
      </c>
      <c r="B361" s="11" t="s">
        <v>8</v>
      </c>
      <c r="C361" s="11" t="s">
        <v>5</v>
      </c>
      <c r="D361" s="16" t="str">
        <f>HYPERLINK("https://freddywills.com/pick/7409/auburn-vs-minnesota-guaranteed-or-back.html", "Auburn -7 3.3% play ")</f>
        <v xml:space="preserve">Auburn -7 3.3% play </v>
      </c>
      <c r="E361" s="11">
        <v>3.3</v>
      </c>
      <c r="F361" s="11">
        <v>-1.1000000000000001</v>
      </c>
      <c r="G361" s="11" t="s">
        <v>6</v>
      </c>
      <c r="H361" s="13">
        <v>-3300</v>
      </c>
      <c r="I361" s="14">
        <f t="shared" si="12"/>
        <v>-9.1963000000000128E-2</v>
      </c>
      <c r="J361" s="13">
        <f t="shared" si="13"/>
        <v>319053.55999999988</v>
      </c>
    </row>
    <row r="362" spans="1:10" x14ac:dyDescent="0.25">
      <c r="A362" s="10">
        <v>43831.541666666664</v>
      </c>
      <c r="B362" s="11" t="s">
        <v>8</v>
      </c>
      <c r="C362" s="11" t="s">
        <v>7</v>
      </c>
      <c r="D362" s="16" t="str">
        <f>HYPERLINK("https://freddywills.com/pick/7410/alabama-vs-michigan-guaranteed-or-back-total-of-the-week.html", "Alabama/Michigan Over 58 3.3% play ")</f>
        <v xml:space="preserve">Alabama/Michigan Over 58 3.3% play </v>
      </c>
      <c r="E362" s="11">
        <v>3.3</v>
      </c>
      <c r="F362" s="11">
        <v>-1.1000000000000001</v>
      </c>
      <c r="G362" s="11" t="s">
        <v>6</v>
      </c>
      <c r="H362" s="13">
        <v>-3300</v>
      </c>
      <c r="I362" s="14">
        <f t="shared" si="12"/>
        <v>-5.8963000000000133E-2</v>
      </c>
      <c r="J362" s="13">
        <f t="shared" si="13"/>
        <v>322353.55999999988</v>
      </c>
    </row>
    <row r="363" spans="1:10" x14ac:dyDescent="0.25">
      <c r="A363" s="10">
        <v>43830.8125</v>
      </c>
      <c r="B363" s="11" t="s">
        <v>8</v>
      </c>
      <c r="C363" s="11" t="s">
        <v>5</v>
      </c>
      <c r="D363" s="16" t="str">
        <f>HYPERLINK("https://freddywills.com/pick/7408/4-play-on-the-alamo-bowl-texas-vs-utah-guaranteed-or-back.html", "Texas +7 3.3% play / Texas +240 0.7% bonus")</f>
        <v>Texas +7 3.3% play / Texas +240 0.7% bonus</v>
      </c>
      <c r="E363" s="11">
        <v>4</v>
      </c>
      <c r="F363" s="11">
        <v>-1.1000000000000001</v>
      </c>
      <c r="G363" s="11" t="s">
        <v>4</v>
      </c>
      <c r="H363" s="13">
        <v>3636.36</v>
      </c>
      <c r="I363" s="14">
        <f t="shared" si="12"/>
        <v>-2.5963000000000132E-2</v>
      </c>
      <c r="J363" s="13">
        <f t="shared" si="13"/>
        <v>325653.55999999988</v>
      </c>
    </row>
    <row r="364" spans="1:10" x14ac:dyDescent="0.25">
      <c r="A364" s="10">
        <v>43830.8125</v>
      </c>
      <c r="B364" s="11" t="s">
        <v>8</v>
      </c>
      <c r="C364" s="11" t="s">
        <v>18</v>
      </c>
      <c r="D364" s="16" t="str">
        <f>HYPERLINK("https://freddywills.com/pick/7411/texas-utah-ml-bonus.html", "Texas +240 0.7% bonus")</f>
        <v>Texas +240 0.7% bonus</v>
      </c>
      <c r="E364" s="11">
        <v>0.7</v>
      </c>
      <c r="F364" s="11">
        <v>2.4</v>
      </c>
      <c r="G364" s="11" t="s">
        <v>4</v>
      </c>
      <c r="H364" s="13">
        <v>1680</v>
      </c>
      <c r="I364" s="14">
        <f t="shared" si="12"/>
        <v>-6.2326600000000135E-2</v>
      </c>
      <c r="J364" s="13">
        <f t="shared" si="13"/>
        <v>322017.1999999999</v>
      </c>
    </row>
    <row r="365" spans="1:10" x14ac:dyDescent="0.25">
      <c r="A365" s="10">
        <v>43830.6875</v>
      </c>
      <c r="B365" s="11" t="s">
        <v>8</v>
      </c>
      <c r="C365" s="11" t="s">
        <v>5</v>
      </c>
      <c r="D365" s="16" t="str">
        <f>HYPERLINK("https://freddywills.com/pick/7406/arizona-bowl-wyoming-vs-georgia-state-guaranteed-or-back.html", "Wyoming -7 -115 2.2% play ")</f>
        <v xml:space="preserve">Wyoming -7 -115 2.2% play </v>
      </c>
      <c r="E365" s="11">
        <v>2.2000000000000002</v>
      </c>
      <c r="F365" s="11">
        <v>-1.1499999999999999</v>
      </c>
      <c r="G365" s="11" t="s">
        <v>4</v>
      </c>
      <c r="H365" s="13">
        <v>1913.04</v>
      </c>
      <c r="I365" s="14">
        <f t="shared" si="12"/>
        <v>-7.912660000000013E-2</v>
      </c>
      <c r="J365" s="13">
        <f t="shared" si="13"/>
        <v>320337.1999999999</v>
      </c>
    </row>
    <row r="366" spans="1:10" x14ac:dyDescent="0.25">
      <c r="A366" s="10">
        <v>43830.65625</v>
      </c>
      <c r="B366" s="11" t="s">
        <v>8</v>
      </c>
      <c r="C366" s="11" t="s">
        <v>18</v>
      </c>
      <c r="D366" s="16" t="str">
        <f>HYPERLINK("https://freddywills.com/pick/7407/5-5-max-ncaaf-pod-35-11-lifetime-in-december-kansas-state-vs-navy-guaranteed-or-back.html", "Kansas State +110 5.5% NCAAF MAX POD")</f>
        <v>Kansas State +110 5.5% NCAAF MAX POD</v>
      </c>
      <c r="E366" s="11">
        <v>5.5</v>
      </c>
      <c r="F366" s="11">
        <v>1.1000000000000001</v>
      </c>
      <c r="G366" s="11" t="s">
        <v>6</v>
      </c>
      <c r="H366" s="13">
        <v>-5500</v>
      </c>
      <c r="I366" s="14">
        <f t="shared" si="12"/>
        <v>-9.8257000000000136E-2</v>
      </c>
      <c r="J366" s="13">
        <f t="shared" si="13"/>
        <v>318424.15999999992</v>
      </c>
    </row>
    <row r="367" spans="1:10" x14ac:dyDescent="0.25">
      <c r="A367" s="10">
        <v>43830.5</v>
      </c>
      <c r="B367" s="11" t="s">
        <v>8</v>
      </c>
      <c r="C367" s="11" t="s">
        <v>5</v>
      </c>
      <c r="D367" s="16" t="str">
        <f>HYPERLINK("https://freddywills.com/pick/7405/3-belk-bowl-kentucky-vs-virginiatech-guaranteed-or-back.html", "Kentucky +3 -120 buy 1/2 3% play ")</f>
        <v xml:space="preserve">Kentucky +3 -120 buy 1/2 3% play </v>
      </c>
      <c r="E367" s="11">
        <v>3</v>
      </c>
      <c r="F367" s="11">
        <v>-1.2</v>
      </c>
      <c r="G367" s="11" t="s">
        <v>4</v>
      </c>
      <c r="H367" s="13">
        <v>2500</v>
      </c>
      <c r="I367" s="14">
        <f t="shared" si="12"/>
        <v>-4.3257000000000136E-2</v>
      </c>
      <c r="J367" s="13">
        <f t="shared" si="13"/>
        <v>323924.15999999992</v>
      </c>
    </row>
    <row r="368" spans="1:10" x14ac:dyDescent="0.25">
      <c r="A368" s="10">
        <v>43829.833333333336</v>
      </c>
      <c r="B368" s="11" t="s">
        <v>8</v>
      </c>
      <c r="C368" s="11" t="s">
        <v>7</v>
      </c>
      <c r="D368" s="16" t="str">
        <f>HYPERLINK("https://freddywills.com/pick/7404/1-1-free-play-florida-vs-virginia-total-play.html", "Florida/Virginia Under 55.5 1.1% Free play ")</f>
        <v xml:space="preserve">Florida/Virginia Under 55.5 1.1% Free play </v>
      </c>
      <c r="E368" s="11">
        <v>1.1000000000000001</v>
      </c>
      <c r="F368" s="11">
        <v>-1.1000000000000001</v>
      </c>
      <c r="G368" s="11" t="s">
        <v>6</v>
      </c>
      <c r="H368" s="13">
        <v>-1100</v>
      </c>
      <c r="I368" s="14">
        <f t="shared" si="12"/>
        <v>-6.8257000000000137E-2</v>
      </c>
      <c r="J368" s="13">
        <f t="shared" si="13"/>
        <v>321424.15999999992</v>
      </c>
    </row>
    <row r="369" spans="1:10" x14ac:dyDescent="0.25">
      <c r="A369" s="10">
        <v>43829.666666666664</v>
      </c>
      <c r="B369" s="11" t="s">
        <v>8</v>
      </c>
      <c r="C369" s="11" t="s">
        <v>5</v>
      </c>
      <c r="D369" s="16" t="str">
        <f>HYPERLINK("https://freddywills.com/pick/7403/2-2-redbox-bowl-game-cal-vs-illinois-guaranteed-or-back.html", "Cal -6 2.2% play ")</f>
        <v xml:space="preserve">Cal -6 2.2% play </v>
      </c>
      <c r="E369" s="11">
        <v>2.2000000000000002</v>
      </c>
      <c r="F369" s="11">
        <v>-1.1000000000000001</v>
      </c>
      <c r="G369" s="11" t="s">
        <v>4</v>
      </c>
      <c r="H369" s="13">
        <v>2000</v>
      </c>
      <c r="I369" s="14">
        <f t="shared" si="12"/>
        <v>-5.7257000000000141E-2</v>
      </c>
      <c r="J369" s="13">
        <f t="shared" si="13"/>
        <v>322524.15999999992</v>
      </c>
    </row>
    <row r="370" spans="1:10" x14ac:dyDescent="0.25">
      <c r="A370" s="10">
        <v>43829.5</v>
      </c>
      <c r="B370" s="11" t="s">
        <v>8</v>
      </c>
      <c r="C370" s="11" t="s">
        <v>5</v>
      </c>
      <c r="D370" s="16" t="str">
        <f>HYPERLINK("https://freddywills.com/pick/7402/first-responders-bowl-westernmichigan-vs-westernkentucky-guaranteed-or-back.html", "Western Michigan +3.5 2.2% play ")</f>
        <v xml:space="preserve">Western Michigan +3.5 2.2% play </v>
      </c>
      <c r="E370" s="11">
        <v>2.2000000000000002</v>
      </c>
      <c r="F370" s="11">
        <v>-1.1000000000000001</v>
      </c>
      <c r="G370" s="11" t="s">
        <v>4</v>
      </c>
      <c r="H370" s="13">
        <v>2000</v>
      </c>
      <c r="I370" s="14">
        <f t="shared" si="12"/>
        <v>-7.7257000000000145E-2</v>
      </c>
      <c r="J370" s="13">
        <f t="shared" si="13"/>
        <v>320524.15999999992</v>
      </c>
    </row>
    <row r="371" spans="1:10" x14ac:dyDescent="0.25">
      <c r="A371" s="10">
        <v>43828.847222222219</v>
      </c>
      <c r="B371" s="11" t="s">
        <v>2</v>
      </c>
      <c r="C371" s="11" t="s">
        <v>5</v>
      </c>
      <c r="D371" s="16" t="str">
        <f>HYPERLINK("https://freddywills.com/pick/7401/sunday-night-football-seahawks-vs-49ers-guaranteed-or-back.html", "Seahawks +3.5 2.2% play")</f>
        <v>Seahawks +3.5 2.2% play</v>
      </c>
      <c r="E371" s="11">
        <v>2.2000000000000002</v>
      </c>
      <c r="F371" s="11">
        <v>-1.1000000000000001</v>
      </c>
      <c r="G371" s="11" t="s">
        <v>6</v>
      </c>
      <c r="H371" s="13">
        <v>-2200</v>
      </c>
      <c r="I371" s="14">
        <f t="shared" si="12"/>
        <v>-9.7257000000000149E-2</v>
      </c>
      <c r="J371" s="13">
        <f t="shared" si="13"/>
        <v>318524.15999999992</v>
      </c>
    </row>
    <row r="372" spans="1:10" x14ac:dyDescent="0.25">
      <c r="A372" s="10">
        <v>43828.684027777781</v>
      </c>
      <c r="B372" s="11" t="s">
        <v>2</v>
      </c>
      <c r="C372" s="11" t="s">
        <v>5</v>
      </c>
      <c r="D372" s="16" t="str">
        <f>HYPERLINK("https://freddywills.com/pick/7398/5-5-max-nfl-pod-guaranteed-or-back-57-30-138-386-l-87-max-rated-nfl-picks.html", "Giants +3.5 5.5% NFL POD")</f>
        <v>Giants +3.5 5.5% NFL POD</v>
      </c>
      <c r="E372" s="11">
        <v>5.5</v>
      </c>
      <c r="F372" s="11">
        <v>-1.1000000000000001</v>
      </c>
      <c r="G372" s="11" t="s">
        <v>6</v>
      </c>
      <c r="H372" s="13">
        <v>-5500</v>
      </c>
      <c r="I372" s="14">
        <f t="shared" si="12"/>
        <v>-7.5257000000000157E-2</v>
      </c>
      <c r="J372" s="13">
        <f t="shared" si="13"/>
        <v>320724.15999999992</v>
      </c>
    </row>
    <row r="373" spans="1:10" x14ac:dyDescent="0.25">
      <c r="A373" s="10">
        <v>43828.684027777781</v>
      </c>
      <c r="B373" s="11" t="s">
        <v>2</v>
      </c>
      <c r="C373" s="11" t="s">
        <v>5</v>
      </c>
      <c r="D373" s="16" t="str">
        <f>HYPERLINK("https://freddywills.com/pick/7399/3-5-nfl-play-broncos-vs-raiders-guaranteed-or-back-75-49-88-723-l-124-nfl.html", "Broncos -3 buy 1/2 -120 3.5% play ")</f>
        <v xml:space="preserve">Broncos -3 buy 1/2 -120 3.5% play </v>
      </c>
      <c r="E373" s="11">
        <v>3.5</v>
      </c>
      <c r="F373" s="11">
        <v>-1.2</v>
      </c>
      <c r="G373" s="11" t="s">
        <v>6</v>
      </c>
      <c r="H373" s="13">
        <v>-3500</v>
      </c>
      <c r="I373" s="14">
        <f t="shared" si="12"/>
        <v>-2.025700000000015E-2</v>
      </c>
      <c r="J373" s="13">
        <f t="shared" si="13"/>
        <v>326224.15999999992</v>
      </c>
    </row>
    <row r="374" spans="1:10" x14ac:dyDescent="0.25">
      <c r="A374" s="10">
        <v>43828.541666666664</v>
      </c>
      <c r="B374" s="11" t="s">
        <v>2</v>
      </c>
      <c r="C374" s="11" t="s">
        <v>10</v>
      </c>
      <c r="D374" s="16" t="str">
        <f>HYPERLINK("https://freddywills.com/pick/7400/nfl-teaser-of-the-week-guaranteed-or-back.html", "Jets +7 / Titans -1.5 3.3% play ")</f>
        <v xml:space="preserve">Jets +7 / Titans -1.5 3.3% play </v>
      </c>
      <c r="E374" s="11">
        <v>3.3</v>
      </c>
      <c r="F374" s="11">
        <v>-1.1000000000000001</v>
      </c>
      <c r="G374" s="11" t="s">
        <v>4</v>
      </c>
      <c r="H374" s="13">
        <v>3000</v>
      </c>
      <c r="I374" s="14">
        <f t="shared" si="12"/>
        <v>1.4742999999999853E-2</v>
      </c>
      <c r="J374" s="13">
        <f t="shared" si="13"/>
        <v>329724.15999999992</v>
      </c>
    </row>
    <row r="375" spans="1:10" x14ac:dyDescent="0.25">
      <c r="A375" s="10">
        <v>43827.836805555555</v>
      </c>
      <c r="B375" s="11" t="s">
        <v>8</v>
      </c>
      <c r="C375" s="11" t="s">
        <v>5</v>
      </c>
      <c r="D375" s="16" t="str">
        <f>HYPERLINK("https://freddywills.com/pick/7397/4-5-play-194-149-115-484-l-343-ncaaf-4-bankroll-clemson-vs-ohiostate.html", "Ohio State +3 -120 buy 1/2 - 4.5% play")</f>
        <v>Ohio State +3 -120 buy 1/2 - 4.5% play</v>
      </c>
      <c r="E375" s="11">
        <v>4.5</v>
      </c>
      <c r="F375" s="11">
        <v>-1.2</v>
      </c>
      <c r="G375" s="11" t="s">
        <v>6</v>
      </c>
      <c r="H375" s="13">
        <v>-4500</v>
      </c>
      <c r="I375" s="14">
        <f t="shared" si="12"/>
        <v>-1.5257000000000145E-2</v>
      </c>
      <c r="J375" s="13">
        <f t="shared" si="13"/>
        <v>326724.15999999992</v>
      </c>
    </row>
    <row r="376" spans="1:10" x14ac:dyDescent="0.25">
      <c r="A376" s="10">
        <v>43827.666666666664</v>
      </c>
      <c r="B376" s="11" t="s">
        <v>8</v>
      </c>
      <c r="C376" s="11" t="s">
        <v>5</v>
      </c>
      <c r="D376" s="16" t="str">
        <f>HYPERLINK("https://freddywills.com/pick/7369/4-4-play-peachbowl-lsu-vs-oklahoma-college-football-semi-final-guaranteed-or-back.html", "LSU -13.5 4.4% PLAY ")</f>
        <v xml:space="preserve">LSU -13.5 4.4% PLAY </v>
      </c>
      <c r="E376" s="11">
        <v>4.4000000000000004</v>
      </c>
      <c r="F376" s="11">
        <v>-1.1000000000000001</v>
      </c>
      <c r="G376" s="11" t="s">
        <v>4</v>
      </c>
      <c r="H376" s="13">
        <v>4000</v>
      </c>
      <c r="I376" s="14">
        <f t="shared" si="12"/>
        <v>2.9742999999999853E-2</v>
      </c>
      <c r="J376" s="13">
        <f t="shared" si="13"/>
        <v>331224.15999999992</v>
      </c>
    </row>
    <row r="377" spans="1:10" x14ac:dyDescent="0.25">
      <c r="A377" s="10">
        <v>43827.5</v>
      </c>
      <c r="B377" s="11" t="s">
        <v>8</v>
      </c>
      <c r="C377" s="11" t="s">
        <v>5</v>
      </c>
      <c r="D377" s="16" t="str">
        <f>HYPERLINK("https://freddywills.com/pick/7394/5-5-max-ncaaf-pod-35-10-ats-lifetime-in-december-on-5-5-max-ncaaf-pod-s-guaranteed-or-back.html", "Iowa State +3.5 5.5% NCAAF POD")</f>
        <v>Iowa State +3.5 5.5% NCAAF POD</v>
      </c>
      <c r="E377" s="11">
        <v>5.5</v>
      </c>
      <c r="F377" s="11">
        <v>-1.1000000000000001</v>
      </c>
      <c r="G377" s="11" t="s">
        <v>6</v>
      </c>
      <c r="H377" s="13">
        <v>-5500</v>
      </c>
      <c r="I377" s="14">
        <f t="shared" si="12"/>
        <v>-1.0257000000000148E-2</v>
      </c>
      <c r="J377" s="13">
        <f t="shared" si="13"/>
        <v>327224.15999999992</v>
      </c>
    </row>
    <row r="378" spans="1:10" x14ac:dyDescent="0.25">
      <c r="A378" s="10">
        <v>43826.9375</v>
      </c>
      <c r="B378" s="11" t="s">
        <v>8</v>
      </c>
      <c r="C378" s="11" t="s">
        <v>5</v>
      </c>
      <c r="D378" s="16" t="str">
        <f>HYPERLINK("https://freddywills.com/pick/7392/friday-s-late-night-fix-airforce-vs-washington-state-guaranteed-or-back.html", "AIR FORCE -2.5 3.3% PLAY ")</f>
        <v xml:space="preserve">AIR FORCE -2.5 3.3% PLAY </v>
      </c>
      <c r="E378" s="11">
        <v>3.3</v>
      </c>
      <c r="F378" s="11">
        <v>-1.1000000000000001</v>
      </c>
      <c r="G378" s="11" t="s">
        <v>4</v>
      </c>
      <c r="H378" s="13">
        <v>3000</v>
      </c>
      <c r="I378" s="14">
        <f t="shared" si="12"/>
        <v>4.4742999999999852E-2</v>
      </c>
      <c r="J378" s="13">
        <f t="shared" si="13"/>
        <v>332724.15999999992</v>
      </c>
    </row>
    <row r="379" spans="1:10" x14ac:dyDescent="0.25">
      <c r="A379" s="10">
        <v>43826.78125</v>
      </c>
      <c r="B379" s="11" t="s">
        <v>8</v>
      </c>
      <c r="C379" s="11" t="s">
        <v>10</v>
      </c>
      <c r="D379" s="16" t="str">
        <f>HYPERLINK("https://freddywills.com/pick/7393/4-4-college-football-teaser-of-the-bowl-season-guaranteed-or-back.html", "Texas A&amp;M +0.5 / Penn State -1 4.4% teaser")</f>
        <v>Texas A&amp;M +0.5 / Penn State -1 4.4% teaser</v>
      </c>
      <c r="E379" s="11">
        <v>4.4000000000000004</v>
      </c>
      <c r="F379" s="11">
        <v>-1.1000000000000001</v>
      </c>
      <c r="G379" s="11" t="s">
        <v>4</v>
      </c>
      <c r="H379" s="13">
        <v>4000</v>
      </c>
      <c r="I379" s="14">
        <f t="shared" si="12"/>
        <v>1.4742999999999853E-2</v>
      </c>
      <c r="J379" s="13">
        <f t="shared" si="13"/>
        <v>329724.15999999992</v>
      </c>
    </row>
    <row r="380" spans="1:10" x14ac:dyDescent="0.25">
      <c r="A380" s="10">
        <v>43826.638888888891</v>
      </c>
      <c r="B380" s="11" t="s">
        <v>8</v>
      </c>
      <c r="C380" s="11" t="s">
        <v>5</v>
      </c>
      <c r="D380" s="16" t="str">
        <f>HYPERLINK("https://freddywills.com/pick/7395/pinnstripe-bowl-michigan-state-vs-wake-forest.html", "Michigan State -4 3.3% play ")</f>
        <v xml:space="preserve">Michigan State -4 3.3% play </v>
      </c>
      <c r="E380" s="11">
        <v>3.3</v>
      </c>
      <c r="F380" s="11">
        <v>-1.1000000000000001</v>
      </c>
      <c r="G380" s="11" t="s">
        <v>4</v>
      </c>
      <c r="H380" s="13">
        <v>3000</v>
      </c>
      <c r="I380" s="14">
        <f t="shared" si="12"/>
        <v>-2.5257000000000147E-2</v>
      </c>
      <c r="J380" s="13">
        <f t="shared" si="13"/>
        <v>325724.15999999992</v>
      </c>
    </row>
    <row r="381" spans="1:10" x14ac:dyDescent="0.25">
      <c r="A381" s="10">
        <v>43826.5</v>
      </c>
      <c r="B381" s="11" t="s">
        <v>8</v>
      </c>
      <c r="C381" s="11" t="s">
        <v>5</v>
      </c>
      <c r="D381" s="16" t="str">
        <f>HYPERLINK("https://freddywills.com/pick/7396/1-1-free-play-early-bird-special-unc-vs-temple-guaranteed-or-back.html", "NORTH CAROLINA -5 1.1% FREE PLAY ")</f>
        <v xml:space="preserve">NORTH CAROLINA -5 1.1% FREE PLAY </v>
      </c>
      <c r="E381" s="11">
        <v>1.1000000000000001</v>
      </c>
      <c r="F381" s="11">
        <v>-1.1000000000000001</v>
      </c>
      <c r="G381" s="11" t="s">
        <v>4</v>
      </c>
      <c r="H381" s="13">
        <v>1000</v>
      </c>
      <c r="I381" s="14">
        <f t="shared" si="12"/>
        <v>-5.5257000000000146E-2</v>
      </c>
      <c r="J381" s="13">
        <f t="shared" si="13"/>
        <v>322724.15999999992</v>
      </c>
    </row>
    <row r="382" spans="1:10" x14ac:dyDescent="0.25">
      <c r="A382" s="10">
        <v>43825.833333333336</v>
      </c>
      <c r="B382" s="11" t="s">
        <v>8</v>
      </c>
      <c r="C382" s="11" t="s">
        <v>5</v>
      </c>
      <c r="D382" s="16" t="str">
        <f>HYPERLINK("https://freddywills.com/pick/7391/quick-lane-bowl-free-pick-pitt-vs-easternmich-59-45-10-573-l-104-ncaaf-free-picks.html", "Pitt -12.5 1.1% free play ")</f>
        <v xml:space="preserve">Pitt -12.5 1.1% free play </v>
      </c>
      <c r="E382" s="11">
        <v>1.1100000000000001</v>
      </c>
      <c r="F382" s="11">
        <v>-1.1000000000000001</v>
      </c>
      <c r="G382" s="11" t="s">
        <v>6</v>
      </c>
      <c r="H382" s="13">
        <v>-1110</v>
      </c>
      <c r="I382" s="14">
        <f t="shared" si="12"/>
        <v>-6.5257000000000148E-2</v>
      </c>
      <c r="J382" s="13">
        <f t="shared" si="13"/>
        <v>321724.15999999992</v>
      </c>
    </row>
    <row r="383" spans="1:10" x14ac:dyDescent="0.25">
      <c r="A383" s="10">
        <v>43825.666666666664</v>
      </c>
      <c r="B383" s="11" t="s">
        <v>8</v>
      </c>
      <c r="C383" s="11" t="s">
        <v>5</v>
      </c>
      <c r="D383" s="16" t="str">
        <f>HYPERLINK("https://freddywills.com/pick/7390/4-4-ncaaf-pod-miami-vs-latech-guaranteed-or-back-194-147-124-384-l-341-ncaaf-4-bankrol.html", "Ã¯Â»Â¿Miami -6 4.4% NCAAF POD")</f>
        <v>Ã¯Â»Â¿Miami -6 4.4% NCAAF POD</v>
      </c>
      <c r="E383" s="11">
        <v>4.4000000000000004</v>
      </c>
      <c r="F383" s="11">
        <v>-1.1000000000000001</v>
      </c>
      <c r="G383" s="11" t="s">
        <v>6</v>
      </c>
      <c r="H383" s="13">
        <v>-4400</v>
      </c>
      <c r="I383" s="14">
        <f t="shared" si="12"/>
        <v>-5.4157000000000149E-2</v>
      </c>
      <c r="J383" s="13">
        <f t="shared" si="13"/>
        <v>322834.15999999992</v>
      </c>
    </row>
    <row r="384" spans="1:10" x14ac:dyDescent="0.25">
      <c r="A384" s="10">
        <v>43823.833333333336</v>
      </c>
      <c r="B384" s="11" t="s">
        <v>8</v>
      </c>
      <c r="C384" s="11" t="s">
        <v>18</v>
      </c>
      <c r="D384" s="16" t="str">
        <f>HYPERLINK("https://freddywills.com/pick/7389/4-5-ncaaf-pod-hawaiibowl-prediction-analysis-10-3-lifetime-in-hawaii-bowl-194-147-124-384.html", "BYU -125 4.5% NCAAF POD ")</f>
        <v xml:space="preserve">BYU -125 4.5% NCAAF POD </v>
      </c>
      <c r="E384" s="11">
        <v>4.5</v>
      </c>
      <c r="F384" s="11">
        <v>-1.25</v>
      </c>
      <c r="G384" s="11" t="s">
        <v>6</v>
      </c>
      <c r="H384" s="13">
        <v>-4500</v>
      </c>
      <c r="I384" s="14">
        <f t="shared" si="12"/>
        <v>-1.0157000000000152E-2</v>
      </c>
      <c r="J384" s="13">
        <f t="shared" si="13"/>
        <v>327234.15999999992</v>
      </c>
    </row>
    <row r="385" spans="1:10" x14ac:dyDescent="0.25">
      <c r="A385" s="10">
        <v>43822.604166666664</v>
      </c>
      <c r="B385" s="11" t="s">
        <v>8</v>
      </c>
      <c r="C385" s="11" t="s">
        <v>5</v>
      </c>
      <c r="D385" s="16" t="str">
        <f>HYPERLINK("https://freddywills.com/pick/7379/gasparillabowl-prediction-analysis-2-2-play-guaranteed-or-back-marshall-vs-ucf.html", "Marshall +17.5 2.2% play ")</f>
        <v xml:space="preserve">Marshall +17.5 2.2% play </v>
      </c>
      <c r="E385" s="11">
        <v>2.2000000000000002</v>
      </c>
      <c r="F385" s="11">
        <v>-1.1000000000000001</v>
      </c>
      <c r="G385" s="11" t="s">
        <v>6</v>
      </c>
      <c r="H385" s="13">
        <v>-2200</v>
      </c>
      <c r="I385" s="14">
        <f t="shared" si="12"/>
        <v>3.4842999999999846E-2</v>
      </c>
      <c r="J385" s="13">
        <f t="shared" si="13"/>
        <v>331734.15999999992</v>
      </c>
    </row>
    <row r="386" spans="1:10" x14ac:dyDescent="0.25">
      <c r="A386" s="10">
        <v>43821.684027777781</v>
      </c>
      <c r="B386" s="11" t="s">
        <v>2</v>
      </c>
      <c r="C386" s="11" t="s">
        <v>5</v>
      </c>
      <c r="D386" s="16" t="str">
        <f>HYPERLINK("https://freddywills.com/pick/7385/3-3-nfl-pick-94-72-54-941-l-166-all-sports-3-bankroll-guaranteed-or-back.html", "Cardinals +8.5 3.3% play ")</f>
        <v xml:space="preserve">Cardinals +8.5 3.3% play </v>
      </c>
      <c r="E386" s="11">
        <v>3.3</v>
      </c>
      <c r="F386" s="11">
        <v>-1.1000000000000001</v>
      </c>
      <c r="G386" s="11" t="s">
        <v>4</v>
      </c>
      <c r="H386" s="13">
        <v>3000</v>
      </c>
      <c r="I386" s="14">
        <f t="shared" si="12"/>
        <v>5.6842999999999845E-2</v>
      </c>
      <c r="J386" s="13">
        <f t="shared" si="13"/>
        <v>333934.15999999992</v>
      </c>
    </row>
    <row r="387" spans="1:10" x14ac:dyDescent="0.25">
      <c r="A387" s="10">
        <v>43821.541666666664</v>
      </c>
      <c r="B387" s="11" t="s">
        <v>2</v>
      </c>
      <c r="C387" s="11" t="s">
        <v>5</v>
      </c>
      <c r="D387" s="16" t="str">
        <f>HYPERLINK("https://freddywills.com/pick/7383/1-1-free-nfl-sunday-pick-52-29-37-327-l-81-nfl.html", "Raiders +7.5 1.1% Free Pick ")</f>
        <v xml:space="preserve">Raiders +7.5 1.1% Free Pick </v>
      </c>
      <c r="E387" s="11">
        <v>1.1000000000000001</v>
      </c>
      <c r="F387" s="11">
        <v>-1.1000000000000001</v>
      </c>
      <c r="G387" s="11" t="s">
        <v>4</v>
      </c>
      <c r="H387" s="13">
        <v>1000</v>
      </c>
      <c r="I387" s="14">
        <f t="shared" si="12"/>
        <v>2.6842999999999846E-2</v>
      </c>
      <c r="J387" s="13">
        <f t="shared" si="13"/>
        <v>330934.15999999992</v>
      </c>
    </row>
    <row r="388" spans="1:10" x14ac:dyDescent="0.25">
      <c r="A388" s="10">
        <v>43821.541666666664</v>
      </c>
      <c r="B388" s="11" t="s">
        <v>2</v>
      </c>
      <c r="C388" s="11" t="s">
        <v>12</v>
      </c>
      <c r="D388" s="16" t="str">
        <f>HYPERLINK("https://freddywills.com/pick/7386/nfl-ml-parlay-play-on-sunday-guaranteed-or-back.html", "Saints / Chiefs +115 2.5% play ")</f>
        <v xml:space="preserve">Saints / Chiefs +115 2.5% play </v>
      </c>
      <c r="E388" s="11">
        <v>2.5</v>
      </c>
      <c r="F388" s="11">
        <v>1.1499999999999999</v>
      </c>
      <c r="G388" s="11" t="s">
        <v>4</v>
      </c>
      <c r="H388" s="13">
        <v>2875</v>
      </c>
      <c r="I388" s="14">
        <f t="shared" si="12"/>
        <v>1.6842999999999844E-2</v>
      </c>
      <c r="J388" s="13">
        <f t="shared" si="13"/>
        <v>329934.15999999992</v>
      </c>
    </row>
    <row r="389" spans="1:10" x14ac:dyDescent="0.25">
      <c r="A389" s="10">
        <v>43821.541666666664</v>
      </c>
      <c r="B389" s="11" t="s">
        <v>2</v>
      </c>
      <c r="C389" s="11" t="s">
        <v>5</v>
      </c>
      <c r="D389" s="16" t="str">
        <f>HYPERLINK("https://freddywills.com/pick/7387/2-2-nfl-early-bird-special-16-9-15-275-l-25-nfl-2-bankroll-colts-vs-panthers.html", "Colts -6.5 2.2% play ")</f>
        <v xml:space="preserve">Colts -6.5 2.2% play </v>
      </c>
      <c r="E389" s="11">
        <v>2.2000000000000002</v>
      </c>
      <c r="F389" s="11">
        <v>-1.1000000000000001</v>
      </c>
      <c r="G389" s="11" t="s">
        <v>4</v>
      </c>
      <c r="H389" s="13">
        <v>2000</v>
      </c>
      <c r="I389" s="14">
        <f t="shared" si="12"/>
        <v>-1.1907000000000157E-2</v>
      </c>
      <c r="J389" s="13">
        <f t="shared" si="13"/>
        <v>327059.15999999992</v>
      </c>
    </row>
    <row r="390" spans="1:10" x14ac:dyDescent="0.25">
      <c r="A390" s="10">
        <v>43821.541666666664</v>
      </c>
      <c r="B390" s="11" t="s">
        <v>2</v>
      </c>
      <c r="C390" s="11" t="s">
        <v>5</v>
      </c>
      <c r="D390" s="16" t="str">
        <f>HYPERLINK("https://freddywills.com/pick/7388/5-5-nfl-pod-guaranteed-or-back-56-30-133-604-l-86-max-rated-nfl-picks.html", "Jets +3.5 -115 5.5% NFL POD")</f>
        <v>Jets +3.5 -115 5.5% NFL POD</v>
      </c>
      <c r="E390" s="11">
        <v>5.5</v>
      </c>
      <c r="F390" s="11">
        <v>-1.1499999999999999</v>
      </c>
      <c r="G390" s="11" t="s">
        <v>4</v>
      </c>
      <c r="H390" s="13">
        <v>4782.6099999999997</v>
      </c>
      <c r="I390" s="14">
        <f t="shared" si="12"/>
        <v>-3.1907000000000157E-2</v>
      </c>
      <c r="J390" s="13">
        <f t="shared" si="13"/>
        <v>325059.15999999992</v>
      </c>
    </row>
    <row r="391" spans="1:10" x14ac:dyDescent="0.25">
      <c r="A391" s="10">
        <v>43820.8125</v>
      </c>
      <c r="B391" s="11" t="s">
        <v>8</v>
      </c>
      <c r="C391" s="11" t="s">
        <v>5</v>
      </c>
      <c r="D391" s="16" t="str">
        <f>HYPERLINK("https://freddywills.com/pick/7378/34-10-career-in-december-on-5-5-max-ncaaf-pod-s-guaranteed-or-back.html", "Washington -3 -115 5.5% NCAAF POD")</f>
        <v>Washington -3 -115 5.5% NCAAF POD</v>
      </c>
      <c r="E391" s="11">
        <v>5.5</v>
      </c>
      <c r="F391" s="11">
        <v>-1.1499999999999999</v>
      </c>
      <c r="G391" s="11" t="s">
        <v>4</v>
      </c>
      <c r="H391" s="13">
        <v>4782.6099999999997</v>
      </c>
      <c r="I391" s="14">
        <f t="shared" si="12"/>
        <v>-7.9733100000000154E-2</v>
      </c>
      <c r="J391" s="13">
        <f t="shared" si="13"/>
        <v>320276.54999999993</v>
      </c>
    </row>
    <row r="392" spans="1:10" x14ac:dyDescent="0.25">
      <c r="A392" s="10">
        <v>43820.729166666664</v>
      </c>
      <c r="B392" s="11" t="s">
        <v>8</v>
      </c>
      <c r="C392" s="11" t="s">
        <v>18</v>
      </c>
      <c r="D392" s="16" t="str">
        <f>HYPERLINK("https://freddywills.com/pick/7380/fiu-vs-arkansas-state-guaranteed-or-back.html", "FIU +110 2.5% PLAY ")</f>
        <v xml:space="preserve">FIU +110 2.5% PLAY </v>
      </c>
      <c r="E392" s="11">
        <v>2.5</v>
      </c>
      <c r="F392" s="11">
        <v>1.1000000000000001</v>
      </c>
      <c r="G392" s="11" t="s">
        <v>6</v>
      </c>
      <c r="H392" s="13">
        <v>-2500</v>
      </c>
      <c r="I392" s="14">
        <f t="shared" si="12"/>
        <v>-0.12755920000000015</v>
      </c>
      <c r="J392" s="13">
        <f t="shared" si="13"/>
        <v>315493.93999999994</v>
      </c>
    </row>
    <row r="393" spans="1:10" x14ac:dyDescent="0.25">
      <c r="A393" s="10">
        <v>43820.6875</v>
      </c>
      <c r="B393" s="11" t="s">
        <v>2</v>
      </c>
      <c r="C393" s="11" t="s">
        <v>10</v>
      </c>
      <c r="D393" s="16" t="str">
        <f>HYPERLINK("https://freddywills.com/pick/7382/nfl-teaser-of-the-week-1st-leg-saturday-guaranteed-or-back-97-70-67-421-l-167-all-sports.html", "Patriots -0.5 / Eagles +8 3.3% Teaser of the week ")</f>
        <v xml:space="preserve">Patriots -0.5 / Eagles +8 3.3% Teaser of the week </v>
      </c>
      <c r="E393" s="11">
        <v>3.3</v>
      </c>
      <c r="F393" s="11">
        <v>-1.1000000000000001</v>
      </c>
      <c r="G393" s="11" t="s">
        <v>4</v>
      </c>
      <c r="H393" s="13">
        <v>3000</v>
      </c>
      <c r="I393" s="14">
        <f t="shared" si="12"/>
        <v>-0.10255920000000016</v>
      </c>
      <c r="J393" s="13">
        <f t="shared" si="13"/>
        <v>317993.93999999994</v>
      </c>
    </row>
    <row r="394" spans="1:10" x14ac:dyDescent="0.25">
      <c r="A394" s="10">
        <v>43820.6875</v>
      </c>
      <c r="B394" s="11" t="s">
        <v>8</v>
      </c>
      <c r="C394" s="11" t="s">
        <v>7</v>
      </c>
      <c r="D394" s="16" t="str">
        <f>HYPERLINK("https://freddywills.com/pick/7384/smu-fau-total-play.html", "SMU/FAU / Under 70 2.2% play")</f>
        <v>SMU/FAU / Under 70 2.2% play</v>
      </c>
      <c r="E394" s="11">
        <v>2.2000000000000002</v>
      </c>
      <c r="F394" s="11">
        <v>-1.1000000000000001</v>
      </c>
      <c r="G394" s="11" t="s">
        <v>6</v>
      </c>
      <c r="H394" s="13">
        <v>-2200</v>
      </c>
      <c r="I394" s="14">
        <f t="shared" si="12"/>
        <v>-0.13255920000000015</v>
      </c>
      <c r="J394" s="13">
        <f t="shared" si="13"/>
        <v>314993.93999999994</v>
      </c>
    </row>
    <row r="395" spans="1:10" x14ac:dyDescent="0.25">
      <c r="A395" s="10">
        <v>43820.645833333336</v>
      </c>
      <c r="B395" s="11" t="s">
        <v>8</v>
      </c>
      <c r="C395" s="11" t="s">
        <v>5</v>
      </c>
      <c r="D395" s="16" t="str">
        <f>HYPERLINK("https://freddywills.com/pick/7377/bocabowl-prediction-pick-side-total-guaranteed-2-0-or-back.html", "SMU -3 2.2% PLAY ")</f>
        <v xml:space="preserve">SMU -3 2.2% PLAY </v>
      </c>
      <c r="E395" s="11">
        <v>2.2000000000000002</v>
      </c>
      <c r="F395" s="11">
        <v>-1.1000000000000001</v>
      </c>
      <c r="G395" s="11" t="s">
        <v>6</v>
      </c>
      <c r="H395" s="13">
        <v>-2200</v>
      </c>
      <c r="I395" s="14">
        <f t="shared" si="12"/>
        <v>-0.11055920000000016</v>
      </c>
      <c r="J395" s="13">
        <f t="shared" si="13"/>
        <v>317193.93999999994</v>
      </c>
    </row>
    <row r="396" spans="1:10" x14ac:dyDescent="0.25">
      <c r="A396" s="10">
        <v>43820.583333333336</v>
      </c>
      <c r="B396" s="11" t="s">
        <v>8</v>
      </c>
      <c r="C396" s="11" t="s">
        <v>5</v>
      </c>
      <c r="D396" s="16" t="str">
        <f>HYPERLINK("https://freddywills.com/pick/7381/new-mexico-bowl-sdst-vs-cmu-guaranteed-or-back-3-3-play.html", "San Diego State -3 3.3% play ")</f>
        <v xml:space="preserve">San Diego State -3 3.3% play </v>
      </c>
      <c r="E396" s="11">
        <v>3.3</v>
      </c>
      <c r="F396" s="11">
        <v>-1.1000000000000001</v>
      </c>
      <c r="G396" s="11" t="s">
        <v>4</v>
      </c>
      <c r="H396" s="13">
        <v>3000</v>
      </c>
      <c r="I396" s="14">
        <f t="shared" si="12"/>
        <v>-8.8559200000000171E-2</v>
      </c>
      <c r="J396" s="13">
        <f t="shared" si="13"/>
        <v>319393.93999999994</v>
      </c>
    </row>
    <row r="397" spans="1:10" x14ac:dyDescent="0.25">
      <c r="A397" s="10">
        <v>43819.8125</v>
      </c>
      <c r="B397" s="11" t="s">
        <v>8</v>
      </c>
      <c r="C397" s="11" t="s">
        <v>18</v>
      </c>
      <c r="D397" s="16" t="str">
        <f>HYPERLINK("https://freddywills.com/pick/7376/friscobowlgame-prediction-analysis-kentstate-vs-utahstate-guaranteed-or-back.html", "Kent State +215 2.5% play")</f>
        <v>Kent State +215 2.5% play</v>
      </c>
      <c r="E397" s="11">
        <v>2.5</v>
      </c>
      <c r="F397" s="11">
        <v>2.15</v>
      </c>
      <c r="G397" s="11" t="s">
        <v>4</v>
      </c>
      <c r="H397" s="13">
        <v>5375</v>
      </c>
      <c r="I397" s="14">
        <f t="shared" si="12"/>
        <v>-0.11855920000000017</v>
      </c>
      <c r="J397" s="13">
        <f t="shared" si="13"/>
        <v>316393.93999999994</v>
      </c>
    </row>
    <row r="398" spans="1:10" x14ac:dyDescent="0.25">
      <c r="A398" s="10">
        <v>43819.583333333336</v>
      </c>
      <c r="B398" s="11" t="s">
        <v>8</v>
      </c>
      <c r="C398" s="11" t="s">
        <v>5</v>
      </c>
      <c r="D398" s="16" t="str">
        <f>HYPERLINK("https://freddywills.com/pick/7375/thebahamasbowl-buffalo-vs-charlotte-guaranteed-or-back-184-36-career-dec-january.html", "Buffalo -6.5 2.2% play ")</f>
        <v xml:space="preserve">Buffalo -6.5 2.2% play </v>
      </c>
      <c r="E398" s="11">
        <v>2.2000000000000002</v>
      </c>
      <c r="F398" s="11">
        <v>-1.1000000000000001</v>
      </c>
      <c r="G398" s="11" t="s">
        <v>4</v>
      </c>
      <c r="H398" s="13">
        <v>2000</v>
      </c>
      <c r="I398" s="14">
        <f t="shared" si="12"/>
        <v>-0.17230920000000016</v>
      </c>
      <c r="J398" s="13">
        <f t="shared" si="13"/>
        <v>311018.93999999994</v>
      </c>
    </row>
    <row r="399" spans="1:10" x14ac:dyDescent="0.25">
      <c r="A399" s="10">
        <v>43814.847222222219</v>
      </c>
      <c r="B399" s="11" t="s">
        <v>2</v>
      </c>
      <c r="C399" s="11" t="s">
        <v>5</v>
      </c>
      <c r="D399" s="16" t="str">
        <f>HYPERLINK("https://freddywills.com/pick/7374/3-play-on-sunday-night-football-guaranteed-or-back-93-70-58-541-l-163-all-sports-3-bankro.html", "Steelers -105 3.3% play ")</f>
        <v xml:space="preserve">Steelers -105 3.3% play </v>
      </c>
      <c r="E399" s="11">
        <v>3.3</v>
      </c>
      <c r="F399" s="11">
        <v>-1.05</v>
      </c>
      <c r="G399" s="11" t="s">
        <v>6</v>
      </c>
      <c r="H399" s="13">
        <v>-3300</v>
      </c>
      <c r="I399" s="14">
        <f t="shared" si="12"/>
        <v>-0.19230920000000015</v>
      </c>
      <c r="J399" s="13">
        <f t="shared" si="13"/>
        <v>309018.93999999994</v>
      </c>
    </row>
    <row r="400" spans="1:10" x14ac:dyDescent="0.25">
      <c r="A400" s="10">
        <v>43814.670138888891</v>
      </c>
      <c r="B400" s="11" t="s">
        <v>2</v>
      </c>
      <c r="C400" s="11" t="s">
        <v>5</v>
      </c>
      <c r="D400" s="16" t="str">
        <f>HYPERLINK("https://freddywills.com/pick/7371/5-5-max-nfl-pod-guaranteed-or-back-55-30-128-604-l-85-max-rated-nfl-picks.html", "Cardinals +3 5.5% MAX NFL POD")</f>
        <v>Cardinals +3 5.5% MAX NFL POD</v>
      </c>
      <c r="E400" s="11">
        <v>5.5</v>
      </c>
      <c r="F400" s="11">
        <v>-1.1000000000000001</v>
      </c>
      <c r="G400" s="11" t="s">
        <v>4</v>
      </c>
      <c r="H400" s="13">
        <v>5000</v>
      </c>
      <c r="I400" s="14">
        <f t="shared" si="12"/>
        <v>-0.15930920000000015</v>
      </c>
      <c r="J400" s="13">
        <f t="shared" si="13"/>
        <v>312318.93999999994</v>
      </c>
    </row>
    <row r="401" spans="1:10" x14ac:dyDescent="0.25">
      <c r="A401" s="10">
        <v>43814.541666666664</v>
      </c>
      <c r="B401" s="11" t="s">
        <v>2</v>
      </c>
      <c r="C401" s="11" t="s">
        <v>10</v>
      </c>
      <c r="D401" s="16" t="str">
        <f>HYPERLINK("https://freddywills.com/pick/7372/nfl-teaser-of-the-week-97-69-71-021-l-166-all-sports-teasers.html", "Bears +10.5 / Chargers +8 6.5pt teaser 3.6% play -120")</f>
        <v>Bears +10.5 / Chargers +8 6.5pt teaser 3.6% play -120</v>
      </c>
      <c r="E401" s="11">
        <v>3.6</v>
      </c>
      <c r="F401" s="11">
        <v>-1.2</v>
      </c>
      <c r="G401" s="11" t="s">
        <v>6</v>
      </c>
      <c r="H401" s="13">
        <v>-3600</v>
      </c>
      <c r="I401" s="14">
        <f t="shared" ref="I401:I464" si="14">(H401/100000)+I402</f>
        <v>-0.20930920000000014</v>
      </c>
      <c r="J401" s="13">
        <f t="shared" ref="J401:J464" si="15">H401+J402</f>
        <v>307318.93999999994</v>
      </c>
    </row>
    <row r="402" spans="1:10" x14ac:dyDescent="0.25">
      <c r="A402" s="10">
        <v>43814.541666666664</v>
      </c>
      <c r="B402" s="11" t="s">
        <v>2</v>
      </c>
      <c r="C402" s="11" t="s">
        <v>5</v>
      </c>
      <c r="D402" s="16" t="str">
        <f>HYPERLINK("https://freddywills.com/pick/7373/sunday-s-nfl-free-pick-titans-vs-texans-52-28-38-427-l-80-nfl-free-picks.html", "Titans -3 1.1% Free Pick")</f>
        <v>Titans -3 1.1% Free Pick</v>
      </c>
      <c r="E402" s="11">
        <v>1.1000000000000001</v>
      </c>
      <c r="F402" s="11">
        <v>-1.1000000000000001</v>
      </c>
      <c r="G402" s="11" t="s">
        <v>6</v>
      </c>
      <c r="H402" s="13">
        <v>-1100</v>
      </c>
      <c r="I402" s="14">
        <f t="shared" si="14"/>
        <v>-0.17330920000000014</v>
      </c>
      <c r="J402" s="13">
        <f t="shared" si="15"/>
        <v>310918.93999999994</v>
      </c>
    </row>
    <row r="403" spans="1:10" x14ac:dyDescent="0.25">
      <c r="A403" s="10">
        <v>43813.625</v>
      </c>
      <c r="B403" s="11" t="s">
        <v>8</v>
      </c>
      <c r="C403" s="11" t="s">
        <v>5</v>
      </c>
      <c r="D403" s="16" t="str">
        <f>HYPERLINK("https://freddywills.com/pick/7370/army-vs-navy-game-3-3-play-guaranteed-or-back-93-70-58-541-l-163-all-sports-3-bankroll.html", "Army +10.5 3.3% play ")</f>
        <v xml:space="preserve">Army +10.5 3.3% play </v>
      </c>
      <c r="E403" s="11">
        <v>3.3</v>
      </c>
      <c r="F403" s="11">
        <v>-1.1000000000000001</v>
      </c>
      <c r="G403" s="11" t="s">
        <v>6</v>
      </c>
      <c r="H403" s="13">
        <v>-3300</v>
      </c>
      <c r="I403" s="14">
        <f t="shared" si="14"/>
        <v>-0.16230920000000013</v>
      </c>
      <c r="J403" s="13">
        <f t="shared" si="15"/>
        <v>312018.93999999994</v>
      </c>
    </row>
    <row r="404" spans="1:10" x14ac:dyDescent="0.25">
      <c r="A404" s="10">
        <v>43807.847222222219</v>
      </c>
      <c r="B404" s="11" t="s">
        <v>2</v>
      </c>
      <c r="C404" s="11" t="s">
        <v>5</v>
      </c>
      <c r="D404" s="16" t="str">
        <f>HYPERLINK("https://freddywills.com/pick/7366/seahawks-vs-rams-sunday-night-football-pick-guaranteed-or-back.html", "Rams pk 3.3% play ")</f>
        <v xml:space="preserve">Rams pk 3.3% play </v>
      </c>
      <c r="E404" s="11">
        <v>3.3</v>
      </c>
      <c r="F404" s="11">
        <v>-1.1000000000000001</v>
      </c>
      <c r="G404" s="11" t="s">
        <v>4</v>
      </c>
      <c r="H404" s="13">
        <v>3000</v>
      </c>
      <c r="I404" s="14">
        <f t="shared" si="14"/>
        <v>-0.12930920000000012</v>
      </c>
      <c r="J404" s="13">
        <f t="shared" si="15"/>
        <v>315318.93999999994</v>
      </c>
    </row>
    <row r="405" spans="1:10" x14ac:dyDescent="0.25">
      <c r="A405" s="10">
        <v>43807.684027777781</v>
      </c>
      <c r="B405" s="11" t="s">
        <v>2</v>
      </c>
      <c r="C405" s="11" t="s">
        <v>7</v>
      </c>
      <c r="D405" s="16" t="str">
        <f>HYPERLINK("https://freddywills.com/pick/7362/nfl-total-of-the-week-chargers-vs-jaguars-guaranteed-or-back.html", "Chargers/ Jaguars O42.5 2.2% play ")</f>
        <v xml:space="preserve">Chargers/ Jaguars O42.5 2.2% play </v>
      </c>
      <c r="E405" s="11">
        <v>2.2000000000000002</v>
      </c>
      <c r="F405" s="11">
        <v>-1.1000000000000001</v>
      </c>
      <c r="G405" s="11" t="s">
        <v>4</v>
      </c>
      <c r="H405" s="13">
        <v>2000</v>
      </c>
      <c r="I405" s="14">
        <f t="shared" si="14"/>
        <v>-0.15930920000000012</v>
      </c>
      <c r="J405" s="13">
        <f t="shared" si="15"/>
        <v>312318.93999999994</v>
      </c>
    </row>
    <row r="406" spans="1:10" x14ac:dyDescent="0.25">
      <c r="A406" s="10">
        <v>43807.684027777781</v>
      </c>
      <c r="B406" s="11" t="s">
        <v>2</v>
      </c>
      <c r="C406" s="11" t="s">
        <v>10</v>
      </c>
      <c r="D406" s="16" t="str">
        <f>HYPERLINK("https://freddywills.com/pick/7367/3-nfl-teaser-of-the-week-guaranteed-or-back.html", "Titans +3.5 / Cardinals +8.5 3.3% play")</f>
        <v>Titans +3.5 / Cardinals +8.5 3.3% play</v>
      </c>
      <c r="E406" s="11">
        <v>3.3</v>
      </c>
      <c r="F406" s="11">
        <v>-1.1000000000000001</v>
      </c>
      <c r="G406" s="11" t="s">
        <v>4</v>
      </c>
      <c r="H406" s="13">
        <v>3000</v>
      </c>
      <c r="I406" s="14">
        <f t="shared" si="14"/>
        <v>-0.17930920000000011</v>
      </c>
      <c r="J406" s="13">
        <f t="shared" si="15"/>
        <v>310318.93999999994</v>
      </c>
    </row>
    <row r="407" spans="1:10" x14ac:dyDescent="0.25">
      <c r="A407" s="10">
        <v>43807.684027777781</v>
      </c>
      <c r="B407" s="11" t="s">
        <v>2</v>
      </c>
      <c r="C407" s="11" t="s">
        <v>18</v>
      </c>
      <c r="D407" s="16" t="str">
        <f>HYPERLINK("https://freddywills.com/pick/7368/money-line-play-of-the-week-54-53-74-303-l-107-nfl-money-lines.html", "Patriots -150 3% play ")</f>
        <v xml:space="preserve">Patriots -150 3% play </v>
      </c>
      <c r="E407" s="11">
        <v>3</v>
      </c>
      <c r="F407" s="11">
        <v>-1.5</v>
      </c>
      <c r="G407" s="11" t="s">
        <v>6</v>
      </c>
      <c r="H407" s="13">
        <v>-3000</v>
      </c>
      <c r="I407" s="14">
        <f t="shared" si="14"/>
        <v>-0.20930920000000011</v>
      </c>
      <c r="J407" s="13">
        <f t="shared" si="15"/>
        <v>307318.93999999994</v>
      </c>
    </row>
    <row r="408" spans="1:10" x14ac:dyDescent="0.25">
      <c r="A408" s="10">
        <v>43807.541666666664</v>
      </c>
      <c r="B408" s="11" t="s">
        <v>2</v>
      </c>
      <c r="C408" s="11" t="s">
        <v>5</v>
      </c>
      <c r="D408" s="16" t="str">
        <f>HYPERLINK("https://freddywills.com/pick/7363/nfl-free-pick-of-the-week-redskins-vs-packers-51-28-37-427-l-79-nfl-free-picks.html", "Redskins +13 1.1% Free Play")</f>
        <v>Redskins +13 1.1% Free Play</v>
      </c>
      <c r="E408" s="11">
        <v>1.1000000000000001</v>
      </c>
      <c r="F408" s="11">
        <v>-1.1000000000000001</v>
      </c>
      <c r="G408" s="11" t="s">
        <v>4</v>
      </c>
      <c r="H408" s="13">
        <v>1000</v>
      </c>
      <c r="I408" s="14">
        <f t="shared" si="14"/>
        <v>-0.17930920000000011</v>
      </c>
      <c r="J408" s="13">
        <f t="shared" si="15"/>
        <v>310318.93999999994</v>
      </c>
    </row>
    <row r="409" spans="1:10" x14ac:dyDescent="0.25">
      <c r="A409" s="10">
        <v>43807.541666666664</v>
      </c>
      <c r="B409" s="11" t="s">
        <v>2</v>
      </c>
      <c r="C409" s="11" t="s">
        <v>5</v>
      </c>
      <c r="D409" s="16" t="str">
        <f>HYPERLINK("https://freddywills.com/pick/7364/nfl-fade-the-world-play-of-the-week-guaranteed-or-back.html", "Bills +6 3.3% play ")</f>
        <v xml:space="preserve">Bills +6 3.3% play </v>
      </c>
      <c r="E409" s="11">
        <v>3.3</v>
      </c>
      <c r="F409" s="11">
        <v>-1.1000000000000001</v>
      </c>
      <c r="G409" s="11" t="s">
        <v>6</v>
      </c>
      <c r="H409" s="13">
        <v>-3300</v>
      </c>
      <c r="I409" s="14">
        <f t="shared" si="14"/>
        <v>-0.18930920000000012</v>
      </c>
      <c r="J409" s="13">
        <f t="shared" si="15"/>
        <v>309318.93999999994</v>
      </c>
    </row>
    <row r="410" spans="1:10" x14ac:dyDescent="0.25">
      <c r="A410" s="10">
        <v>43807.541666666664</v>
      </c>
      <c r="B410" s="11" t="s">
        <v>2</v>
      </c>
      <c r="C410" s="11" t="s">
        <v>5</v>
      </c>
      <c r="D410" s="16" t="str">
        <f>HYPERLINK("https://freddywills.com/pick/7365/5-5-max-nfl-pod-guaranteed-or-back-55-29-134-104-l-84-max-rated-nfl-picks.html", "Saints -2 5.5% MAX NFL POD ")</f>
        <v xml:space="preserve">Saints -2 5.5% MAX NFL POD </v>
      </c>
      <c r="E410" s="11">
        <v>5.5</v>
      </c>
      <c r="F410" s="11">
        <v>-1.1000000000000001</v>
      </c>
      <c r="G410" s="11" t="s">
        <v>6</v>
      </c>
      <c r="H410" s="13">
        <v>-5500</v>
      </c>
      <c r="I410" s="14">
        <f t="shared" si="14"/>
        <v>-0.15630920000000012</v>
      </c>
      <c r="J410" s="13">
        <f t="shared" si="15"/>
        <v>312618.93999999994</v>
      </c>
    </row>
    <row r="411" spans="1:10" x14ac:dyDescent="0.25">
      <c r="A411" s="10">
        <v>43806.833333333336</v>
      </c>
      <c r="B411" s="11" t="s">
        <v>8</v>
      </c>
      <c r="C411" s="11" t="s">
        <v>5</v>
      </c>
      <c r="D411" s="16" t="str">
        <f>HYPERLINK("https://freddywills.com/pick/7358/free-big-ten-championship-game-total-9-1-career-in-big-ten-championship-game.html", "Ohio St / Wisconsin Over 56.5 1.1% Free Play")</f>
        <v>Ohio St / Wisconsin Over 56.5 1.1% Free Play</v>
      </c>
      <c r="E411" s="11">
        <v>1.1000000000000001</v>
      </c>
      <c r="F411" s="11">
        <v>-1.1000000000000001</v>
      </c>
      <c r="G411" s="11" t="s">
        <v>6</v>
      </c>
      <c r="H411" s="13">
        <v>-1100</v>
      </c>
      <c r="I411" s="14">
        <f t="shared" si="14"/>
        <v>-0.10130920000000011</v>
      </c>
      <c r="J411" s="13">
        <f t="shared" si="15"/>
        <v>318118.93999999994</v>
      </c>
    </row>
    <row r="412" spans="1:10" x14ac:dyDescent="0.25">
      <c r="A412" s="10">
        <v>43806.666666666664</v>
      </c>
      <c r="B412" s="11" t="s">
        <v>8</v>
      </c>
      <c r="C412" s="11" t="s">
        <v>5</v>
      </c>
      <c r="D412" s="16" t="str">
        <f>HYPERLINK("https://freddywills.com/pick/7357/5-5-max-ncaaf-pod-sec-championship-georgia-vs-lsu-34-12-lifetime-ats-on-5-ncaaf-in-december.html", "Georgia +7 5.5% NCAAF POD")</f>
        <v>Georgia +7 5.5% NCAAF POD</v>
      </c>
      <c r="E412" s="11">
        <v>5.5</v>
      </c>
      <c r="F412" s="11">
        <v>-1.1000000000000001</v>
      </c>
      <c r="G412" s="11" t="s">
        <v>6</v>
      </c>
      <c r="H412" s="13">
        <v>-5500</v>
      </c>
      <c r="I412" s="14">
        <f t="shared" si="14"/>
        <v>-9.0309200000000117E-2</v>
      </c>
      <c r="J412" s="13">
        <f t="shared" si="15"/>
        <v>319218.93999999994</v>
      </c>
    </row>
    <row r="413" spans="1:10" x14ac:dyDescent="0.25">
      <c r="A413" s="10">
        <v>43806.645833333336</v>
      </c>
      <c r="B413" s="11" t="s">
        <v>8</v>
      </c>
      <c r="C413" s="11" t="s">
        <v>5</v>
      </c>
      <c r="D413" s="16" t="str">
        <f>HYPERLINK("https://freddywills.com/pick/7353/aac-championship-game-3-play-3-0-career-ats-in-this-game-guaranteed-or-back.html", "Cinci +10 @ -120 buy 1/2 2.4% play / Cinci +295 1% play ")</f>
        <v xml:space="preserve">Cinci +10 @ -120 buy 1/2 2.4% play / Cinci +295 1% play </v>
      </c>
      <c r="E413" s="11">
        <v>2.4</v>
      </c>
      <c r="F413" s="11">
        <v>-1.2</v>
      </c>
      <c r="G413" s="11" t="s">
        <v>4</v>
      </c>
      <c r="H413" s="13">
        <v>2000</v>
      </c>
      <c r="I413" s="14">
        <f t="shared" si="14"/>
        <v>-3.530920000000011E-2</v>
      </c>
      <c r="J413" s="13">
        <f t="shared" si="15"/>
        <v>324718.93999999994</v>
      </c>
    </row>
    <row r="414" spans="1:10" x14ac:dyDescent="0.25">
      <c r="A414" s="10">
        <v>43806.645833333336</v>
      </c>
      <c r="B414" s="11" t="s">
        <v>8</v>
      </c>
      <c r="C414" s="11" t="s">
        <v>18</v>
      </c>
      <c r="D414" s="16" t="str">
        <f>HYPERLINK("https://freddywills.com/pick/7361/aac-moneyline-bonus.html", "Cinci +295 1% play")</f>
        <v>Cinci +295 1% play</v>
      </c>
      <c r="E414" s="11">
        <v>1</v>
      </c>
      <c r="F414" s="11">
        <v>2.95</v>
      </c>
      <c r="G414" s="11" t="s">
        <v>6</v>
      </c>
      <c r="H414" s="13">
        <v>-1000</v>
      </c>
      <c r="I414" s="14">
        <f t="shared" si="14"/>
        <v>-5.5309200000000107E-2</v>
      </c>
      <c r="J414" s="13">
        <f t="shared" si="15"/>
        <v>322718.93999999994</v>
      </c>
    </row>
    <row r="415" spans="1:10" x14ac:dyDescent="0.25">
      <c r="A415" s="10">
        <v>43806.5</v>
      </c>
      <c r="B415" s="11" t="s">
        <v>8</v>
      </c>
      <c r="C415" s="11" t="s">
        <v>7</v>
      </c>
      <c r="D415" s="16" t="str">
        <f>HYPERLINK("https://freddywills.com/pick/7354/macchampionship-4-0-lifetime-total-of-the-week-guaranteed-or-back.html", "MIA OH / CMU U54.5 3.3% PLAY")</f>
        <v>MIA OH / CMU U54.5 3.3% PLAY</v>
      </c>
      <c r="E415" s="11">
        <v>3.3</v>
      </c>
      <c r="F415" s="11">
        <v>-1.1000000000000001</v>
      </c>
      <c r="G415" s="11" t="s">
        <v>4</v>
      </c>
      <c r="H415" s="13">
        <v>3000</v>
      </c>
      <c r="I415" s="14">
        <f t="shared" si="14"/>
        <v>-4.5309200000000105E-2</v>
      </c>
      <c r="J415" s="13">
        <f t="shared" si="15"/>
        <v>323718.93999999994</v>
      </c>
    </row>
    <row r="416" spans="1:10" x14ac:dyDescent="0.25">
      <c r="A416" s="10">
        <v>43806.5</v>
      </c>
      <c r="B416" s="11" t="s">
        <v>8</v>
      </c>
      <c r="C416" s="11" t="s">
        <v>5</v>
      </c>
      <c r="D416" s="16" t="str">
        <f>HYPERLINK("https://freddywills.com/pick/7355/big12-championship-game-baylor-vs-oklahoma-guaranteed-or-back.html", "Baylor +9.5 3.3% play ")</f>
        <v xml:space="preserve">Baylor +9.5 3.3% play </v>
      </c>
      <c r="E416" s="11">
        <v>3.3</v>
      </c>
      <c r="F416" s="11">
        <v>-1.1000000000000001</v>
      </c>
      <c r="G416" s="11" t="s">
        <v>4</v>
      </c>
      <c r="H416" s="13">
        <v>3000</v>
      </c>
      <c r="I416" s="14">
        <f t="shared" si="14"/>
        <v>-7.5309200000000104E-2</v>
      </c>
      <c r="J416" s="13">
        <f t="shared" si="15"/>
        <v>320718.93999999994</v>
      </c>
    </row>
    <row r="417" spans="1:10" x14ac:dyDescent="0.25">
      <c r="A417" s="10">
        <v>43806.5</v>
      </c>
      <c r="B417" s="11" t="s">
        <v>8</v>
      </c>
      <c r="C417" s="11" t="s">
        <v>10</v>
      </c>
      <c r="D417" s="16" t="str">
        <f>HYPERLINK("https://freddywills.com/pick/7359/3-3-teaser-of-the-week-46-31-47-l77-ncaaf-teasers.html", "FAU -2 / App State -0.5  3.3% Teaser of the Week")</f>
        <v>FAU -2 / App State -0.5  3.3% Teaser of the Week</v>
      </c>
      <c r="E417" s="11">
        <v>3.3</v>
      </c>
      <c r="F417" s="11">
        <v>-1.1000000000000001</v>
      </c>
      <c r="G417" s="11" t="s">
        <v>4</v>
      </c>
      <c r="H417" s="13">
        <v>3000</v>
      </c>
      <c r="I417" s="14">
        <f t="shared" si="14"/>
        <v>-0.1053092000000001</v>
      </c>
      <c r="J417" s="13">
        <f t="shared" si="15"/>
        <v>317718.93999999994</v>
      </c>
    </row>
    <row r="418" spans="1:10" x14ac:dyDescent="0.25">
      <c r="A418" s="10">
        <v>43805.840277777781</v>
      </c>
      <c r="B418" s="11" t="s">
        <v>8</v>
      </c>
      <c r="C418" s="11" t="s">
        <v>5</v>
      </c>
      <c r="D418" s="16" t="str">
        <f>HYPERLINK("https://freddywills.com/pick/7356/5-5-max-pod-pac12-championship-friday-guaranteed-or-back-saturday-full-card-is-free.html", "Oregon +7 -125 4.5% play / Oregon +210 1% play")</f>
        <v>Oregon +7 -125 4.5% play / Oregon +210 1% play</v>
      </c>
      <c r="E418" s="11">
        <v>4.5</v>
      </c>
      <c r="F418" s="11">
        <v>-1.25</v>
      </c>
      <c r="G418" s="11" t="s">
        <v>4</v>
      </c>
      <c r="H418" s="13">
        <v>3600</v>
      </c>
      <c r="I418" s="14">
        <f t="shared" si="14"/>
        <v>-0.1353092000000001</v>
      </c>
      <c r="J418" s="13">
        <f t="shared" si="15"/>
        <v>314718.93999999994</v>
      </c>
    </row>
    <row r="419" spans="1:10" x14ac:dyDescent="0.25">
      <c r="A419" s="10">
        <v>43805.840277777781</v>
      </c>
      <c r="B419" s="11" t="s">
        <v>8</v>
      </c>
      <c r="C419" s="11" t="s">
        <v>18</v>
      </c>
      <c r="D419" s="16" t="str">
        <f>HYPERLINK("https://freddywills.com/pick/7360/pac-12-championship.html", "Oregon +210 1% play")</f>
        <v>Oregon +210 1% play</v>
      </c>
      <c r="E419" s="11">
        <v>1</v>
      </c>
      <c r="F419" s="11">
        <v>2.1</v>
      </c>
      <c r="G419" s="11" t="s">
        <v>4</v>
      </c>
      <c r="H419" s="13">
        <v>2100</v>
      </c>
      <c r="I419" s="14">
        <f t="shared" si="14"/>
        <v>-0.17130920000000011</v>
      </c>
      <c r="J419" s="13">
        <f t="shared" si="15"/>
        <v>311118.93999999994</v>
      </c>
    </row>
    <row r="420" spans="1:10" x14ac:dyDescent="0.25">
      <c r="A420" s="10">
        <v>43804.847222222219</v>
      </c>
      <c r="B420" s="11" t="s">
        <v>2</v>
      </c>
      <c r="C420" s="11" t="s">
        <v>5</v>
      </c>
      <c r="D420" s="16" t="str">
        <f>HYPERLINK("https://freddywills.com/pick/7352/thursday-night-football-cowboys-vs-bears-guaranteed-or-back.html", "Cowboys -3 3.3% play ")</f>
        <v xml:space="preserve">Cowboys -3 3.3% play </v>
      </c>
      <c r="E420" s="11">
        <v>3.3</v>
      </c>
      <c r="F420" s="11">
        <v>-1.1000000000000001</v>
      </c>
      <c r="G420" s="11" t="s">
        <v>6</v>
      </c>
      <c r="H420" s="13">
        <v>-3300</v>
      </c>
      <c r="I420" s="14">
        <f t="shared" si="14"/>
        <v>-0.1923092000000001</v>
      </c>
      <c r="J420" s="13">
        <f t="shared" si="15"/>
        <v>309018.93999999994</v>
      </c>
    </row>
    <row r="421" spans="1:10" x14ac:dyDescent="0.25">
      <c r="A421" s="10">
        <v>43801.847222222219</v>
      </c>
      <c r="B421" s="11" t="s">
        <v>2</v>
      </c>
      <c r="C421" s="11" t="s">
        <v>5</v>
      </c>
      <c r="D421" s="16" t="str">
        <f>HYPERLINK("https://freddywills.com/pick/7351/60-40-overall-run-in-nfl-53-40-38-134-l-93-nfl-3-bankroll-vikings-vs-seahawks-guaranteed.html", "Vikings +3 3.3% play")</f>
        <v>Vikings +3 3.3% play</v>
      </c>
      <c r="E421" s="11">
        <v>3.3</v>
      </c>
      <c r="F421" s="11">
        <v>-1.1000000000000001</v>
      </c>
      <c r="G421" s="11" t="s">
        <v>6</v>
      </c>
      <c r="H421" s="13">
        <v>-3300</v>
      </c>
      <c r="I421" s="14">
        <f t="shared" si="14"/>
        <v>-0.1593092000000001</v>
      </c>
      <c r="J421" s="13">
        <f t="shared" si="15"/>
        <v>312318.93999999994</v>
      </c>
    </row>
    <row r="422" spans="1:10" x14ac:dyDescent="0.25">
      <c r="A422" s="10">
        <v>43800.847222222219</v>
      </c>
      <c r="B422" s="11" t="s">
        <v>2</v>
      </c>
      <c r="C422" s="11" t="s">
        <v>7</v>
      </c>
      <c r="D422" s="16" t="str">
        <f>HYPERLINK("https://freddywills.com/pick/7332/3-3-nfl-total-of-the-week-patriots-vs-texans-guaranteed-or-back-53-39-41-434-l-92-nfl-3.html", "Patriots / Texans Over 45 3.3% play ")</f>
        <v xml:space="preserve">Patriots / Texans Over 45 3.3% play </v>
      </c>
      <c r="E422" s="11">
        <v>3.3</v>
      </c>
      <c r="F422" s="11">
        <v>-1.1000000000000001</v>
      </c>
      <c r="G422" s="11" t="s">
        <v>4</v>
      </c>
      <c r="H422" s="13">
        <v>3000</v>
      </c>
      <c r="I422" s="14">
        <f t="shared" si="14"/>
        <v>-0.12630920000000009</v>
      </c>
      <c r="J422" s="13">
        <f t="shared" si="15"/>
        <v>315618.93999999994</v>
      </c>
    </row>
    <row r="423" spans="1:10" x14ac:dyDescent="0.25">
      <c r="A423" s="10">
        <v>43800.684027777781</v>
      </c>
      <c r="B423" s="11" t="s">
        <v>2</v>
      </c>
      <c r="C423" s="11" t="s">
        <v>10</v>
      </c>
      <c r="D423" s="16" t="str">
        <f>HYPERLINK("https://freddywills.com/pick/7350/nfl-teaser-of-the-week-3-3-play.html", "Cardinals +8.5 / Raiders +17.5 2.2% play ")</f>
        <v xml:space="preserve">Cardinals +8.5 / Raiders +17.5 2.2% play </v>
      </c>
      <c r="E423" s="11">
        <v>2.2000000000000002</v>
      </c>
      <c r="F423" s="11">
        <v>-1.1000000000000001</v>
      </c>
      <c r="G423" s="11" t="s">
        <v>6</v>
      </c>
      <c r="H423" s="13">
        <v>-2200</v>
      </c>
      <c r="I423" s="14">
        <f t="shared" si="14"/>
        <v>-0.15630920000000009</v>
      </c>
      <c r="J423" s="13">
        <f t="shared" si="15"/>
        <v>312618.93999999994</v>
      </c>
    </row>
    <row r="424" spans="1:10" x14ac:dyDescent="0.25">
      <c r="A424" s="10">
        <v>43800.541666666664</v>
      </c>
      <c r="B424" s="11" t="s">
        <v>2</v>
      </c>
      <c r="C424" s="11" t="s">
        <v>5</v>
      </c>
      <c r="D424" s="16" t="str">
        <f>HYPERLINK("https://freddywills.com/pick/7347/sunday-s-nfl-free-pick-titans-vs-colts.html", "Titans +1 1.1% Free Play")</f>
        <v>Titans +1 1.1% Free Play</v>
      </c>
      <c r="E424" s="11">
        <v>1.1000000000000001</v>
      </c>
      <c r="F424" s="11">
        <v>-1.1000000000000001</v>
      </c>
      <c r="G424" s="11" t="s">
        <v>4</v>
      </c>
      <c r="H424" s="13">
        <v>1000</v>
      </c>
      <c r="I424" s="14">
        <f t="shared" si="14"/>
        <v>-0.1343092000000001</v>
      </c>
      <c r="J424" s="13">
        <f t="shared" si="15"/>
        <v>314818.93999999994</v>
      </c>
    </row>
    <row r="425" spans="1:10" x14ac:dyDescent="0.25">
      <c r="A425" s="10">
        <v>43800.541666666664</v>
      </c>
      <c r="B425" s="11" t="s">
        <v>2</v>
      </c>
      <c r="C425" s="11" t="s">
        <v>5</v>
      </c>
      <c r="D425" s="16" t="str">
        <f>HYPERLINK("https://freddywills.com/pick/7348/2-2-nfl-early-bird-special-49ers-vs-rams-guaranteed-or-back.html", "49ERS +6 2.2% PLAY ")</f>
        <v xml:space="preserve">49ERS +6 2.2% PLAY </v>
      </c>
      <c r="E425" s="11">
        <v>2.2000000000000002</v>
      </c>
      <c r="F425" s="11">
        <v>-1.1000000000000001</v>
      </c>
      <c r="G425" s="11" t="s">
        <v>4</v>
      </c>
      <c r="H425" s="13">
        <v>2000</v>
      </c>
      <c r="I425" s="14">
        <f t="shared" si="14"/>
        <v>-0.14430920000000011</v>
      </c>
      <c r="J425" s="13">
        <f t="shared" si="15"/>
        <v>313818.93999999994</v>
      </c>
    </row>
    <row r="426" spans="1:10" x14ac:dyDescent="0.25">
      <c r="A426" s="10">
        <v>43800.541666666664</v>
      </c>
      <c r="B426" s="11" t="s">
        <v>2</v>
      </c>
      <c r="C426" s="11" t="s">
        <v>5</v>
      </c>
      <c r="D426" s="16" t="str">
        <f>HYPERLINK("https://freddywills.com/pick/7349/5-5-max-nfl-pod-guaranteed-or-back-54-29-129-104-l-83-max-rated-nfl-picks.html", "Steelers +2.5 5.5% NFL POD")</f>
        <v>Steelers +2.5 5.5% NFL POD</v>
      </c>
      <c r="E426" s="11">
        <v>5.5</v>
      </c>
      <c r="F426" s="11">
        <v>-1.1000000000000001</v>
      </c>
      <c r="G426" s="11" t="s">
        <v>4</v>
      </c>
      <c r="H426" s="13">
        <v>5000</v>
      </c>
      <c r="I426" s="14">
        <f t="shared" si="14"/>
        <v>-0.1643092000000001</v>
      </c>
      <c r="J426" s="13">
        <f t="shared" si="15"/>
        <v>311818.93999999994</v>
      </c>
    </row>
    <row r="427" spans="1:10" x14ac:dyDescent="0.25">
      <c r="A427" s="10">
        <v>43799.996527777781</v>
      </c>
      <c r="B427" s="11" t="s">
        <v>8</v>
      </c>
      <c r="C427" s="11" t="s">
        <v>18</v>
      </c>
      <c r="D427" s="16" t="str">
        <f>HYPERLINK("https://freddywills.com/pick/7344/money-line-dog-of-the-week-44-32-84-557-l-76-all-sports-money-lines.html", "Army +120 3% play ")</f>
        <v xml:space="preserve">Army +120 3% play </v>
      </c>
      <c r="E427" s="11">
        <v>3</v>
      </c>
      <c r="F427" s="11">
        <v>1.2</v>
      </c>
      <c r="G427" s="11" t="s">
        <v>6</v>
      </c>
      <c r="H427" s="13">
        <v>-3000</v>
      </c>
      <c r="I427" s="14">
        <f t="shared" si="14"/>
        <v>-0.21430920000000012</v>
      </c>
      <c r="J427" s="13">
        <f t="shared" si="15"/>
        <v>306818.93999999994</v>
      </c>
    </row>
    <row r="428" spans="1:10" x14ac:dyDescent="0.25">
      <c r="A428" s="10">
        <v>43799.9375</v>
      </c>
      <c r="B428" s="11" t="s">
        <v>8</v>
      </c>
      <c r="C428" s="11" t="s">
        <v>5</v>
      </c>
      <c r="D428" s="16" t="str">
        <f>HYPERLINK("https://freddywills.com/pick/7343/late-night-fix-fade-the-world-play-pac12-action-3-play-guaranteed-or-back.html", "Cal -1 3.3% play ")</f>
        <v xml:space="preserve">Cal -1 3.3% play </v>
      </c>
      <c r="E428" s="11">
        <v>3.3</v>
      </c>
      <c r="F428" s="11">
        <v>-1.1000000000000001</v>
      </c>
      <c r="G428" s="11" t="s">
        <v>4</v>
      </c>
      <c r="H428" s="13">
        <v>3000</v>
      </c>
      <c r="I428" s="14">
        <f t="shared" si="14"/>
        <v>-0.18430920000000012</v>
      </c>
      <c r="J428" s="13">
        <f t="shared" si="15"/>
        <v>309818.93999999994</v>
      </c>
    </row>
    <row r="429" spans="1:10" x14ac:dyDescent="0.25">
      <c r="A429" s="10">
        <v>43799.833333333336</v>
      </c>
      <c r="B429" s="11" t="s">
        <v>8</v>
      </c>
      <c r="C429" s="11" t="s">
        <v>5</v>
      </c>
      <c r="D429" s="16" t="str">
        <f>HYPERLINK("https://freddywills.com/pick/7338/fade-the-public-dog-game-of-the-week-guaranteed-or-back.html", "Oklahoma -13 3.3% play ")</f>
        <v xml:space="preserve">Oklahoma -13 3.3% play </v>
      </c>
      <c r="E429" s="11">
        <v>3.3</v>
      </c>
      <c r="F429" s="11">
        <v>-1.1000000000000001</v>
      </c>
      <c r="G429" s="11" t="s">
        <v>4</v>
      </c>
      <c r="H429" s="13">
        <v>3000</v>
      </c>
      <c r="I429" s="14">
        <f t="shared" si="14"/>
        <v>-0.21430920000000012</v>
      </c>
      <c r="J429" s="13">
        <f t="shared" si="15"/>
        <v>306818.93999999994</v>
      </c>
    </row>
    <row r="430" spans="1:10" x14ac:dyDescent="0.25">
      <c r="A430" s="10">
        <v>43799.791666666664</v>
      </c>
      <c r="B430" s="11" t="s">
        <v>8</v>
      </c>
      <c r="C430" s="11" t="s">
        <v>5</v>
      </c>
      <c r="D430" s="16" t="str">
        <f>HYPERLINK("https://freddywills.com/pick/7346/texas-a-m-vs-lsu-2-2-play-guaranteed-or-back-41-27-26-693-l-68-all-sports-2-bankroll.html", "Texas A&amp;M +17 2.2% play")</f>
        <v>Texas A&amp;M +17 2.2% play</v>
      </c>
      <c r="E430" s="11">
        <v>2.2000000000000002</v>
      </c>
      <c r="F430" s="11">
        <v>-1.1000000000000001</v>
      </c>
      <c r="G430" s="11" t="s">
        <v>6</v>
      </c>
      <c r="H430" s="13">
        <v>-2200</v>
      </c>
      <c r="I430" s="14">
        <f t="shared" si="14"/>
        <v>-0.24430920000000012</v>
      </c>
      <c r="J430" s="13">
        <f t="shared" si="15"/>
        <v>303818.93999999994</v>
      </c>
    </row>
    <row r="431" spans="1:10" x14ac:dyDescent="0.25">
      <c r="A431" s="10">
        <v>43799.645833333336</v>
      </c>
      <c r="B431" s="11" t="s">
        <v>8</v>
      </c>
      <c r="C431" s="11" t="s">
        <v>5</v>
      </c>
      <c r="D431" s="16" t="str">
        <f>HYPERLINK("https://freddywills.com/pick/7342/ironbowl-alabama-vs-auburn-guaranteed-or-back-3-play-83-65-last-148-3-sports-picks.html", "Alabama -3 BUY 1/2 to -125 3% play")</f>
        <v>Alabama -3 BUY 1/2 to -125 3% play</v>
      </c>
      <c r="E431" s="11">
        <v>3</v>
      </c>
      <c r="F431" s="11">
        <v>-1.25</v>
      </c>
      <c r="G431" s="11" t="s">
        <v>6</v>
      </c>
      <c r="H431" s="13">
        <v>-3000</v>
      </c>
      <c r="I431" s="14">
        <f t="shared" si="14"/>
        <v>-0.22230920000000012</v>
      </c>
      <c r="J431" s="13">
        <f t="shared" si="15"/>
        <v>306018.93999999994</v>
      </c>
    </row>
    <row r="432" spans="1:10" x14ac:dyDescent="0.25">
      <c r="A432" s="10">
        <v>43799.645833333336</v>
      </c>
      <c r="B432" s="11" t="s">
        <v>8</v>
      </c>
      <c r="C432" s="11" t="s">
        <v>18</v>
      </c>
      <c r="D432" s="16" t="str">
        <f>HYPERLINK("https://freddywills.com/pick/7345/5-5-max-rated-ncaaf-pod-minnesota-vs-wisconsin-guaranteed-or-back.html", "Wisconsin -150 5.5% NCAAF POD")</f>
        <v>Wisconsin -150 5.5% NCAAF POD</v>
      </c>
      <c r="E432" s="11">
        <v>5.5</v>
      </c>
      <c r="F432" s="11">
        <v>-1.5</v>
      </c>
      <c r="G432" s="11" t="s">
        <v>4</v>
      </c>
      <c r="H432" s="13">
        <v>3666.67</v>
      </c>
      <c r="I432" s="14">
        <f t="shared" si="14"/>
        <v>-0.19230920000000012</v>
      </c>
      <c r="J432" s="13">
        <f t="shared" si="15"/>
        <v>309018.93999999994</v>
      </c>
    </row>
    <row r="433" spans="1:10" x14ac:dyDescent="0.25">
      <c r="A433" s="10">
        <v>43799.5</v>
      </c>
      <c r="B433" s="11" t="s">
        <v>8</v>
      </c>
      <c r="C433" s="11" t="s">
        <v>5</v>
      </c>
      <c r="D433" s="16" t="str">
        <f>HYPERLINK("https://freddywills.com/pick/7340/governorscup-kentucky-vs-louisville-free-play.html", "Louisville +3 1.1% Free Play ")</f>
        <v xml:space="preserve">Louisville +3 1.1% Free Play </v>
      </c>
      <c r="E433" s="11">
        <v>1.1000000000000001</v>
      </c>
      <c r="F433" s="11">
        <v>-1.1000000000000001</v>
      </c>
      <c r="G433" s="11" t="s">
        <v>6</v>
      </c>
      <c r="H433" s="13">
        <v>-1100</v>
      </c>
      <c r="I433" s="14">
        <f t="shared" si="14"/>
        <v>-0.22897590000000012</v>
      </c>
      <c r="J433" s="13">
        <f t="shared" si="15"/>
        <v>305352.26999999996</v>
      </c>
    </row>
    <row r="434" spans="1:10" x14ac:dyDescent="0.25">
      <c r="A434" s="10">
        <v>43799.5</v>
      </c>
      <c r="B434" s="11" t="s">
        <v>8</v>
      </c>
      <c r="C434" s="11" t="s">
        <v>10</v>
      </c>
      <c r="D434" s="16" t="str">
        <f>HYPERLINK("https://freddywills.com/pick/7341/college-football-teaser-of-the-week-big12-big10-action-starting-noon.html", "Ohio State -2.5 / Kansas State +10.5 3.3% Teaser")</f>
        <v>Ohio State -2.5 / Kansas State +10.5 3.3% Teaser</v>
      </c>
      <c r="E434" s="11">
        <v>3.3</v>
      </c>
      <c r="F434" s="11">
        <v>-1.1000000000000001</v>
      </c>
      <c r="G434" s="11" t="s">
        <v>4</v>
      </c>
      <c r="H434" s="13">
        <v>3000</v>
      </c>
      <c r="I434" s="14">
        <f t="shared" si="14"/>
        <v>-0.21797590000000011</v>
      </c>
      <c r="J434" s="13">
        <f t="shared" si="15"/>
        <v>306452.26999999996</v>
      </c>
    </row>
    <row r="435" spans="1:10" x14ac:dyDescent="0.25">
      <c r="A435" s="10">
        <v>43798.666666666664</v>
      </c>
      <c r="B435" s="11" t="s">
        <v>8</v>
      </c>
      <c r="C435" s="11" t="s">
        <v>5</v>
      </c>
      <c r="D435" s="16" t="str">
        <f>HYPERLINK("https://freddywills.com/pick/7329/apple-cup-3-3-premium-play-guaranteed-or-back.html", "Washington -7 3.3% play ")</f>
        <v xml:space="preserve">Washington -7 3.3% play </v>
      </c>
      <c r="E435" s="11">
        <v>3.3</v>
      </c>
      <c r="F435" s="11">
        <v>-1.1000000000000001</v>
      </c>
      <c r="G435" s="11" t="s">
        <v>4</v>
      </c>
      <c r="H435" s="13">
        <v>3000</v>
      </c>
      <c r="I435" s="14">
        <f t="shared" si="14"/>
        <v>-0.24797590000000011</v>
      </c>
      <c r="J435" s="13">
        <f t="shared" si="15"/>
        <v>303452.26999999996</v>
      </c>
    </row>
    <row r="436" spans="1:10" x14ac:dyDescent="0.25">
      <c r="A436" s="10">
        <v>43798.645833333336</v>
      </c>
      <c r="B436" s="11" t="s">
        <v>8</v>
      </c>
      <c r="C436" s="11" t="s">
        <v>5</v>
      </c>
      <c r="D436" s="16" t="str">
        <f>HYPERLINK("https://freddywills.com/pick/7336/friday-s-free-college-football-pick-boisest-vs-coloradost-61-39-last-100-free-picks.html", "Boise State -14 1.1% Free Play ")</f>
        <v xml:space="preserve">Boise State -14 1.1% Free Play </v>
      </c>
      <c r="E436" s="11">
        <v>1.1000000000000001</v>
      </c>
      <c r="F436" s="11">
        <v>-1.1000000000000001</v>
      </c>
      <c r="G436" s="11" t="s">
        <v>6</v>
      </c>
      <c r="H436" s="13">
        <v>-1100</v>
      </c>
      <c r="I436" s="14">
        <f t="shared" si="14"/>
        <v>-0.27797590000000011</v>
      </c>
      <c r="J436" s="13">
        <f t="shared" si="15"/>
        <v>300452.26999999996</v>
      </c>
    </row>
    <row r="437" spans="1:10" x14ac:dyDescent="0.25">
      <c r="A437" s="10">
        <v>43798.604166666664</v>
      </c>
      <c r="B437" s="11" t="s">
        <v>8</v>
      </c>
      <c r="C437" s="11" t="s">
        <v>5</v>
      </c>
      <c r="D437" s="16" t="str">
        <f>HYPERLINK("https://freddywills.com/pick/7337/nebraska-vs-iowa-guaranteed-or-back-3-3-play.html", "Nebraska +4.5 2.2% play / Nebraska +185 1.1% play")</f>
        <v>Nebraska +4.5 2.2% play / Nebraska +185 1.1% play</v>
      </c>
      <c r="E437" s="11">
        <v>2.2000000000000002</v>
      </c>
      <c r="F437" s="11">
        <v>-1.1000000000000001</v>
      </c>
      <c r="G437" s="11" t="s">
        <v>4</v>
      </c>
      <c r="H437" s="13">
        <v>2000</v>
      </c>
      <c r="I437" s="14">
        <f t="shared" si="14"/>
        <v>-0.2669759000000001</v>
      </c>
      <c r="J437" s="13">
        <f t="shared" si="15"/>
        <v>301552.26999999996</v>
      </c>
    </row>
    <row r="438" spans="1:10" x14ac:dyDescent="0.25">
      <c r="A438" s="10">
        <v>43798.604166666664</v>
      </c>
      <c r="B438" s="11" t="s">
        <v>8</v>
      </c>
      <c r="C438" s="11" t="s">
        <v>18</v>
      </c>
      <c r="D438" s="16" t="str">
        <f>HYPERLINK("https://freddywills.com/pick/7339/nebraska-185-1-1-play.html", "Nebraska +185 1.1% play")</f>
        <v>Nebraska +185 1.1% play</v>
      </c>
      <c r="E438" s="11">
        <v>1.1000000000000001</v>
      </c>
      <c r="F438" s="11">
        <v>1.85</v>
      </c>
      <c r="G438" s="11" t="s">
        <v>6</v>
      </c>
      <c r="H438" s="13">
        <v>-1100</v>
      </c>
      <c r="I438" s="14">
        <f t="shared" si="14"/>
        <v>-0.28697590000000012</v>
      </c>
      <c r="J438" s="13">
        <f t="shared" si="15"/>
        <v>299552.26999999996</v>
      </c>
    </row>
    <row r="439" spans="1:10" x14ac:dyDescent="0.25">
      <c r="A439" s="10">
        <v>43798.5</v>
      </c>
      <c r="B439" s="11" t="s">
        <v>8</v>
      </c>
      <c r="C439" s="11" t="s">
        <v>18</v>
      </c>
      <c r="D439" s="16" t="str">
        <f>HYPERLINK("https://freddywills.com/pick/7331/virginia-vs-vatech-3-5-guaranteed-or-back-83-62-54-241-l-145-all-sports-3-bankroll.html", "Virginia Tech -140 3.5% play ")</f>
        <v xml:space="preserve">Virginia Tech -140 3.5% play </v>
      </c>
      <c r="E439" s="11">
        <v>3.5</v>
      </c>
      <c r="F439" s="11">
        <v>-1.4</v>
      </c>
      <c r="G439" s="11" t="s">
        <v>6</v>
      </c>
      <c r="H439" s="13">
        <v>-3500</v>
      </c>
      <c r="I439" s="14">
        <f t="shared" si="14"/>
        <v>-0.27597590000000011</v>
      </c>
      <c r="J439" s="13">
        <f t="shared" si="15"/>
        <v>300652.26999999996</v>
      </c>
    </row>
    <row r="440" spans="1:10" x14ac:dyDescent="0.25">
      <c r="A440" s="10">
        <v>43798.5</v>
      </c>
      <c r="B440" s="11" t="s">
        <v>8</v>
      </c>
      <c r="C440" s="11" t="s">
        <v>5</v>
      </c>
      <c r="D440" s="16" t="str">
        <f>HYPERLINK("https://freddywills.com/pick/7335/maction-kentstate-vs-easternmichigan-guaranteed-or-back.html", "Kent State +4 2.2% play")</f>
        <v>Kent State +4 2.2% play</v>
      </c>
      <c r="E440" s="11">
        <v>2.2000000000000002</v>
      </c>
      <c r="F440" s="11">
        <v>-1.1000000000000001</v>
      </c>
      <c r="G440" s="11" t="s">
        <v>4</v>
      </c>
      <c r="H440" s="13">
        <v>2000</v>
      </c>
      <c r="I440" s="14">
        <f t="shared" si="14"/>
        <v>-0.2409759000000001</v>
      </c>
      <c r="J440" s="13">
        <f t="shared" si="15"/>
        <v>304152.26999999996</v>
      </c>
    </row>
    <row r="441" spans="1:10" x14ac:dyDescent="0.25">
      <c r="A441" s="10">
        <v>43797.8125</v>
      </c>
      <c r="B441" s="11" t="s">
        <v>8</v>
      </c>
      <c r="C441" s="11" t="s">
        <v>18</v>
      </c>
      <c r="D441" s="16" t="str">
        <f>HYPERLINK("https://freddywills.com/pick/7330/eggbowl-5-5-max-ncaaf-pod-100-75-107-400-l-175-max-rated-ncaaf-picks.html", "Ole Miss +120 5.5% NCAAF POD")</f>
        <v>Ole Miss +120 5.5% NCAAF POD</v>
      </c>
      <c r="E441" s="11">
        <v>5.5</v>
      </c>
      <c r="F441" s="11">
        <v>1.2</v>
      </c>
      <c r="G441" s="11" t="s">
        <v>6</v>
      </c>
      <c r="H441" s="13">
        <v>-5500</v>
      </c>
      <c r="I441" s="14">
        <f t="shared" si="14"/>
        <v>-0.26097590000000009</v>
      </c>
      <c r="J441" s="13">
        <f t="shared" si="15"/>
        <v>302152.26999999996</v>
      </c>
    </row>
    <row r="442" spans="1:10" x14ac:dyDescent="0.25">
      <c r="A442" s="10">
        <v>43797.6875</v>
      </c>
      <c r="B442" s="11" t="s">
        <v>2</v>
      </c>
      <c r="C442" s="11" t="s">
        <v>5</v>
      </c>
      <c r="D442" s="16" t="str">
        <f>HYPERLINK("https://freddywills.com/pick/7333/cowboys-vs-bills-3-3-play-guaranteed-or-back.html", "Cowboys -6.5 3.3% play ")</f>
        <v xml:space="preserve">Cowboys -6.5 3.3% play </v>
      </c>
      <c r="E442" s="11">
        <v>3.3</v>
      </c>
      <c r="F442" s="11">
        <v>-1.1000000000000001</v>
      </c>
      <c r="G442" s="11" t="s">
        <v>6</v>
      </c>
      <c r="H442" s="13">
        <v>-3300</v>
      </c>
      <c r="I442" s="14">
        <f t="shared" si="14"/>
        <v>-0.2059759000000001</v>
      </c>
      <c r="J442" s="13">
        <f t="shared" si="15"/>
        <v>307652.26999999996</v>
      </c>
    </row>
    <row r="443" spans="1:10" x14ac:dyDescent="0.25">
      <c r="A443" s="10">
        <v>43797.520833333336</v>
      </c>
      <c r="B443" s="11" t="s">
        <v>2</v>
      </c>
      <c r="C443" s="11" t="s">
        <v>5</v>
      </c>
      <c r="D443" s="16" t="str">
        <f>HYPERLINK("https://freddywills.com/pick/7334/free-nfl-early-bird-special-lions-vs-bears-49-28-35-427-l-77-nfl-free-picks.html", "Lions +5.5 1.1% Free Play ")</f>
        <v xml:space="preserve">Lions +5.5 1.1% Free Play </v>
      </c>
      <c r="E443" s="11">
        <v>1.1000000000000001</v>
      </c>
      <c r="F443" s="11">
        <v>-1.1000000000000001</v>
      </c>
      <c r="G443" s="11" t="s">
        <v>4</v>
      </c>
      <c r="H443" s="13">
        <v>1000</v>
      </c>
      <c r="I443" s="14">
        <f t="shared" si="14"/>
        <v>-0.1729759000000001</v>
      </c>
      <c r="J443" s="13">
        <f t="shared" si="15"/>
        <v>310952.26999999996</v>
      </c>
    </row>
    <row r="444" spans="1:10" x14ac:dyDescent="0.25">
      <c r="A444" s="10">
        <v>43794.847222222219</v>
      </c>
      <c r="B444" s="11" t="s">
        <v>8</v>
      </c>
      <c r="C444" s="11" t="s">
        <v>5</v>
      </c>
      <c r="D444" s="16" t="str">
        <f>HYPERLINK("https://freddywills.com/pick/7328/monday-night-football-ravens-vs-rams-guaranteed-or-back-53-39-41-434-l-92-nfl-3-bankroll.html", "Rams +3.5 3.3% play ")</f>
        <v xml:space="preserve">Rams +3.5 3.3% play </v>
      </c>
      <c r="E444" s="11">
        <v>3.3</v>
      </c>
      <c r="F444" s="11">
        <v>-1.1000000000000001</v>
      </c>
      <c r="G444" s="11" t="s">
        <v>6</v>
      </c>
      <c r="H444" s="13">
        <v>-3300</v>
      </c>
      <c r="I444" s="14">
        <f t="shared" si="14"/>
        <v>-0.18297590000000011</v>
      </c>
      <c r="J444" s="13">
        <f t="shared" si="15"/>
        <v>309952.26999999996</v>
      </c>
    </row>
    <row r="445" spans="1:10" x14ac:dyDescent="0.25">
      <c r="A445" s="10">
        <v>43793.847222222219</v>
      </c>
      <c r="B445" s="11" t="s">
        <v>2</v>
      </c>
      <c r="C445" s="11" t="s">
        <v>5</v>
      </c>
      <c r="D445" s="16" t="str">
        <f>HYPERLINK("https://freddywills.com/pick/7324/3-5-play-sunday-night-football-49ers-vs-packers-guaranteed-or-back-52-39-38-391-l-91-nfl-3.html", "49ers -3 -115 3.5% play ")</f>
        <v xml:space="preserve">49ers -3 -115 3.5% play </v>
      </c>
      <c r="E445" s="11">
        <v>3.5</v>
      </c>
      <c r="F445" s="11">
        <v>-1.1499999999999999</v>
      </c>
      <c r="G445" s="11" t="s">
        <v>4</v>
      </c>
      <c r="H445" s="13">
        <v>3043</v>
      </c>
      <c r="I445" s="14">
        <f t="shared" si="14"/>
        <v>-0.14997590000000011</v>
      </c>
      <c r="J445" s="13">
        <f t="shared" si="15"/>
        <v>313252.26999999996</v>
      </c>
    </row>
    <row r="446" spans="1:10" x14ac:dyDescent="0.25">
      <c r="A446" s="10">
        <v>43793.684027777781</v>
      </c>
      <c r="B446" s="11" t="s">
        <v>2</v>
      </c>
      <c r="C446" s="11" t="s">
        <v>7</v>
      </c>
      <c r="D446" s="16" t="str">
        <f>HYPERLINK("https://freddywills.com/pick/7323/nfl-total-of-the-week-guaranteed-or-back-titans-vs-jaguars.html", "Titans/Jaguars Over 41.5 2.2% play ")</f>
        <v xml:space="preserve">Titans/Jaguars Over 41.5 2.2% play </v>
      </c>
      <c r="E446" s="11">
        <v>2.2000000000000002</v>
      </c>
      <c r="F446" s="11">
        <v>-1.1000000000000001</v>
      </c>
      <c r="G446" s="11" t="s">
        <v>4</v>
      </c>
      <c r="H446" s="13">
        <v>2000</v>
      </c>
      <c r="I446" s="14">
        <f t="shared" si="14"/>
        <v>-0.18040590000000009</v>
      </c>
      <c r="J446" s="13">
        <f t="shared" si="15"/>
        <v>310209.26999999996</v>
      </c>
    </row>
    <row r="447" spans="1:10" x14ac:dyDescent="0.25">
      <c r="A447" s="10">
        <v>43793.684027777781</v>
      </c>
      <c r="B447" s="11" t="s">
        <v>2</v>
      </c>
      <c r="C447" s="11" t="s">
        <v>5</v>
      </c>
      <c r="D447" s="16" t="str">
        <f>HYPERLINK("https://freddywills.com/pick/7327/2-2-nfl-play-cowboys-vs-patriots-guaranteed-or-back.html", "Cowboys +6 2.2% play")</f>
        <v>Cowboys +6 2.2% play</v>
      </c>
      <c r="E447" s="11">
        <v>2.2000000000000002</v>
      </c>
      <c r="F447" s="11">
        <v>-1.1000000000000001</v>
      </c>
      <c r="G447" s="11" t="s">
        <v>4</v>
      </c>
      <c r="H447" s="13">
        <v>2000</v>
      </c>
      <c r="I447" s="14">
        <f t="shared" si="14"/>
        <v>-0.20040590000000008</v>
      </c>
      <c r="J447" s="13">
        <f t="shared" si="15"/>
        <v>308209.26999999996</v>
      </c>
    </row>
    <row r="448" spans="1:10" x14ac:dyDescent="0.25">
      <c r="A448" s="10">
        <v>43793.541666666664</v>
      </c>
      <c r="B448" s="11" t="s">
        <v>2</v>
      </c>
      <c r="C448" s="11" t="s">
        <v>5</v>
      </c>
      <c r="D448" s="16" t="str">
        <f>HYPERLINK("https://freddywills.com/pick/7325/5-5-max-nfl-pod-guaranteed-or-back-27-12-73-708-l-39-max-rated-nfl-picks.html", "Eagles -115 5.5% NFL POD")</f>
        <v>Eagles -115 5.5% NFL POD</v>
      </c>
      <c r="E448" s="11">
        <v>5.5</v>
      </c>
      <c r="F448" s="11">
        <v>-1.1499999999999999</v>
      </c>
      <c r="G448" s="11" t="s">
        <v>6</v>
      </c>
      <c r="H448" s="13">
        <v>-5500</v>
      </c>
      <c r="I448" s="14">
        <f t="shared" si="14"/>
        <v>-0.22040590000000007</v>
      </c>
      <c r="J448" s="13">
        <f t="shared" si="15"/>
        <v>306209.26999999996</v>
      </c>
    </row>
    <row r="449" spans="1:10" x14ac:dyDescent="0.25">
      <c r="A449" s="10">
        <v>43793.541666666664</v>
      </c>
      <c r="B449" s="11" t="s">
        <v>2</v>
      </c>
      <c r="C449" s="11" t="s">
        <v>18</v>
      </c>
      <c r="D449" s="16" t="str">
        <f>HYPERLINK("https://freddywills.com/pick/7326/nfl-money-line-dog-of-the-day-guaranteed-or-back-41-32-81-137-l-73-nfl-money-lines.html", "Tampa +165 2.5% play")</f>
        <v>Tampa +165 2.5% play</v>
      </c>
      <c r="E449" s="11">
        <v>2.5</v>
      </c>
      <c r="F449" s="11">
        <v>1.65</v>
      </c>
      <c r="G449" s="11" t="s">
        <v>4</v>
      </c>
      <c r="H449" s="13">
        <v>4125</v>
      </c>
      <c r="I449" s="14">
        <f t="shared" si="14"/>
        <v>-0.16540590000000008</v>
      </c>
      <c r="J449" s="13">
        <f t="shared" si="15"/>
        <v>311709.26999999996</v>
      </c>
    </row>
    <row r="450" spans="1:10" x14ac:dyDescent="0.25">
      <c r="A450" s="10">
        <v>43792.958333333336</v>
      </c>
      <c r="B450" s="11" t="s">
        <v>8</v>
      </c>
      <c r="C450" s="11" t="s">
        <v>5</v>
      </c>
      <c r="D450" s="16" t="str">
        <f>HYPERLINK("https://freddywills.com/pick/7314/4-college-football-late-night-fix-hawaii-vs-sandiegost-193-147-120-784-l-340-ncaaf-4-bankro.html", "San Diego State +3 -115 4% play")</f>
        <v>San Diego State +3 -115 4% play</v>
      </c>
      <c r="E450" s="11">
        <v>4</v>
      </c>
      <c r="F450" s="11">
        <v>-1.1499999999999999</v>
      </c>
      <c r="G450" s="11" t="s">
        <v>9</v>
      </c>
      <c r="H450" s="13">
        <v>0</v>
      </c>
      <c r="I450" s="14">
        <f t="shared" si="14"/>
        <v>-0.20665590000000009</v>
      </c>
      <c r="J450" s="13">
        <f t="shared" si="15"/>
        <v>307584.26999999996</v>
      </c>
    </row>
    <row r="451" spans="1:10" x14ac:dyDescent="0.25">
      <c r="A451" s="10">
        <v>43792.8125</v>
      </c>
      <c r="B451" s="11" t="s">
        <v>8</v>
      </c>
      <c r="C451" s="11" t="s">
        <v>5</v>
      </c>
      <c r="D451" s="16" t="str">
        <f>HYPERLINK("https://freddywills.com/pick/7321/3-fade-the-world-play-in-acc-action-guaranteed-or-back.html", "Duke +7 -115 3% play ")</f>
        <v xml:space="preserve">Duke +7 -115 3% play </v>
      </c>
      <c r="E451" s="11">
        <v>3</v>
      </c>
      <c r="F451" s="11">
        <v>-1.1499999999999999</v>
      </c>
      <c r="G451" s="11" t="s">
        <v>6</v>
      </c>
      <c r="H451" s="13">
        <v>-3000</v>
      </c>
      <c r="I451" s="14">
        <f t="shared" si="14"/>
        <v>-0.20665590000000009</v>
      </c>
      <c r="J451" s="13">
        <f t="shared" si="15"/>
        <v>307584.26999999996</v>
      </c>
    </row>
    <row r="452" spans="1:10" x14ac:dyDescent="0.25">
      <c r="A452" s="10">
        <v>43792.666666666664</v>
      </c>
      <c r="B452" s="11" t="s">
        <v>8</v>
      </c>
      <c r="C452" s="11" t="s">
        <v>5</v>
      </c>
      <c r="D452" s="16" t="str">
        <f>HYPERLINK("https://freddywills.com/pick/7315/3-3-college-football-play-syracuse-vs-louisville-guaranteed-or-back.html", "Syracuse +9.5 3.3% play ")</f>
        <v xml:space="preserve">Syracuse +9.5 3.3% play </v>
      </c>
      <c r="E452" s="11">
        <v>3.3</v>
      </c>
      <c r="F452" s="11">
        <v>-1.1000000000000001</v>
      </c>
      <c r="G452" s="11" t="s">
        <v>6</v>
      </c>
      <c r="H452" s="13">
        <v>-3300</v>
      </c>
      <c r="I452" s="14">
        <f t="shared" si="14"/>
        <v>-0.17665590000000009</v>
      </c>
      <c r="J452" s="13">
        <f t="shared" si="15"/>
        <v>310584.26999999996</v>
      </c>
    </row>
    <row r="453" spans="1:10" x14ac:dyDescent="0.25">
      <c r="A453" s="10">
        <v>43792.645833333336</v>
      </c>
      <c r="B453" s="11" t="s">
        <v>8</v>
      </c>
      <c r="C453" s="11" t="s">
        <v>5</v>
      </c>
      <c r="D453" s="16" t="str">
        <f>HYPERLINK("https://freddywills.com/pick/7316/big10-action-2-2-play-guaranteed-or-back.html", "Indiana +10 2.2% play ")</f>
        <v xml:space="preserve">Indiana +10 2.2% play </v>
      </c>
      <c r="E453" s="11">
        <v>2.2000000000000002</v>
      </c>
      <c r="F453" s="11">
        <v>-1.1000000000000001</v>
      </c>
      <c r="G453" s="11" t="s">
        <v>6</v>
      </c>
      <c r="H453" s="13">
        <v>-2200</v>
      </c>
      <c r="I453" s="14">
        <f t="shared" si="14"/>
        <v>-0.14365590000000009</v>
      </c>
      <c r="J453" s="13">
        <f t="shared" si="15"/>
        <v>313884.26999999996</v>
      </c>
    </row>
    <row r="454" spans="1:10" x14ac:dyDescent="0.25">
      <c r="A454" s="10">
        <v>43792.645833333336</v>
      </c>
      <c r="B454" s="11" t="s">
        <v>8</v>
      </c>
      <c r="C454" s="11" t="s">
        <v>5</v>
      </c>
      <c r="D454" s="16" t="str">
        <f>HYPERLINK("https://freddywills.com/pick/7317/texas-vs-baylor-guaranteed-or-back-25-16-15-818-l-41-ncaaf-2-bankroll.html", "Texas +6 2.2% play ")</f>
        <v xml:space="preserve">Texas +6 2.2% play </v>
      </c>
      <c r="E454" s="11">
        <v>2.2000000000000002</v>
      </c>
      <c r="F454" s="11">
        <v>-1.1000000000000001</v>
      </c>
      <c r="G454" s="11" t="s">
        <v>6</v>
      </c>
      <c r="H454" s="13">
        <v>-2200</v>
      </c>
      <c r="I454" s="14">
        <f t="shared" si="14"/>
        <v>-0.12165590000000009</v>
      </c>
      <c r="J454" s="13">
        <f t="shared" si="15"/>
        <v>316084.26999999996</v>
      </c>
    </row>
    <row r="455" spans="1:10" x14ac:dyDescent="0.25">
      <c r="A455" s="10">
        <v>43792.645833333336</v>
      </c>
      <c r="B455" s="11" t="s">
        <v>8</v>
      </c>
      <c r="C455" s="11" t="s">
        <v>5</v>
      </c>
      <c r="D455" s="16" t="str">
        <f>HYPERLINK("https://freddywills.com/pick/7318/secgow-georgia-vs-texasam-80-59-54-798-l-139-all-sports-3-bankroll-guaranteed-or-back.html", "Texas A&amp;M +13 3.3% play ")</f>
        <v xml:space="preserve">Texas A&amp;M +13 3.3% play </v>
      </c>
      <c r="E455" s="11">
        <v>3.3</v>
      </c>
      <c r="F455" s="11">
        <v>-1.1000000000000001</v>
      </c>
      <c r="G455" s="11" t="s">
        <v>4</v>
      </c>
      <c r="H455" s="13">
        <v>3000</v>
      </c>
      <c r="I455" s="14">
        <f t="shared" si="14"/>
        <v>-9.9655900000000103E-2</v>
      </c>
      <c r="J455" s="13">
        <f t="shared" si="15"/>
        <v>318284.26999999996</v>
      </c>
    </row>
    <row r="456" spans="1:10" x14ac:dyDescent="0.25">
      <c r="A456" s="10">
        <v>43792.645833333336</v>
      </c>
      <c r="B456" s="11" t="s">
        <v>8</v>
      </c>
      <c r="C456" s="11" t="s">
        <v>10</v>
      </c>
      <c r="D456" s="16" t="str">
        <f>HYPERLINK("https://freddywills.com/pick/7319/college-football-teaser-of-the-week-3-3-play-guaranteed-or-back.html", "Georgia Southern +7.5 / California +7.5 3.3% teaser")</f>
        <v>Georgia Southern +7.5 / California +7.5 3.3% teaser</v>
      </c>
      <c r="E456" s="11">
        <v>3.3</v>
      </c>
      <c r="F456" s="11">
        <v>-1.1000000000000001</v>
      </c>
      <c r="G456" s="11" t="s">
        <v>4</v>
      </c>
      <c r="H456" s="13">
        <v>3000</v>
      </c>
      <c r="I456" s="14">
        <f t="shared" si="14"/>
        <v>-0.1296559000000001</v>
      </c>
      <c r="J456" s="13">
        <f t="shared" si="15"/>
        <v>315284.26999999996</v>
      </c>
    </row>
    <row r="457" spans="1:10" x14ac:dyDescent="0.25">
      <c r="A457" s="10">
        <v>43792.645833333336</v>
      </c>
      <c r="B457" s="11" t="s">
        <v>8</v>
      </c>
      <c r="C457" s="11" t="s">
        <v>5</v>
      </c>
      <c r="D457" s="16" t="str">
        <f>HYPERLINK("https://freddywills.com/pick/7320/1-1-free-play-ucla-vs-usc-59-41-14-973-l-100-ncaaf-free-picks.html", "UCLA +14 1.1% Free Pick ")</f>
        <v xml:space="preserve">UCLA +14 1.1% Free Pick </v>
      </c>
      <c r="E457" s="11">
        <v>1.1000000000000001</v>
      </c>
      <c r="F457" s="11">
        <v>-1.1000000000000001</v>
      </c>
      <c r="G457" s="11" t="s">
        <v>6</v>
      </c>
      <c r="H457" s="13">
        <v>-1100</v>
      </c>
      <c r="I457" s="14">
        <f t="shared" si="14"/>
        <v>-0.1596559000000001</v>
      </c>
      <c r="J457" s="13">
        <f t="shared" si="15"/>
        <v>312284.26999999996</v>
      </c>
    </row>
    <row r="458" spans="1:10" x14ac:dyDescent="0.25">
      <c r="A458" s="10">
        <v>43792.5</v>
      </c>
      <c r="B458" s="11" t="s">
        <v>8</v>
      </c>
      <c r="C458" s="11" t="s">
        <v>5</v>
      </c>
      <c r="D458" s="16" t="str">
        <f>HYPERLINK("https://freddywills.com/pick/7322/fade-the-public-dog-play-guaranteed-or-back.html", "UCF -6 3.3% PLAY")</f>
        <v>UCF -6 3.3% PLAY</v>
      </c>
      <c r="E458" s="11">
        <v>2.2000000000000002</v>
      </c>
      <c r="F458" s="11">
        <v>-1.1000000000000001</v>
      </c>
      <c r="G458" s="11" t="s">
        <v>6</v>
      </c>
      <c r="H458" s="13">
        <v>-2200</v>
      </c>
      <c r="I458" s="14">
        <f t="shared" si="14"/>
        <v>-0.14865590000000009</v>
      </c>
      <c r="J458" s="13">
        <f t="shared" si="15"/>
        <v>313384.26999999996</v>
      </c>
    </row>
    <row r="459" spans="1:10" x14ac:dyDescent="0.25">
      <c r="A459" s="10">
        <v>43790.847222222219</v>
      </c>
      <c r="B459" s="11" t="s">
        <v>2</v>
      </c>
      <c r="C459" s="11" t="s">
        <v>5</v>
      </c>
      <c r="D459" s="16" t="str">
        <f>HYPERLINK("https://freddywills.com/pick/7313/thursday-night-nfl-play-colts-vs-texans-guaranteed-or-back.html", "Colts +3.5 2.2% play ")</f>
        <v xml:space="preserve">Colts +3.5 2.2% play </v>
      </c>
      <c r="E459" s="11">
        <v>2.2000000000000002</v>
      </c>
      <c r="F459" s="11">
        <v>-1.1000000000000001</v>
      </c>
      <c r="G459" s="11" t="s">
        <v>4</v>
      </c>
      <c r="H459" s="13">
        <v>2000</v>
      </c>
      <c r="I459" s="14">
        <f t="shared" si="14"/>
        <v>-0.1266559000000001</v>
      </c>
      <c r="J459" s="13">
        <f t="shared" si="15"/>
        <v>315584.26999999996</v>
      </c>
    </row>
    <row r="460" spans="1:10" x14ac:dyDescent="0.25">
      <c r="A460" s="10">
        <v>43790.588194444441</v>
      </c>
      <c r="B460" s="11" t="s">
        <v>8</v>
      </c>
      <c r="C460" s="11" t="s">
        <v>18</v>
      </c>
      <c r="D460" s="16" t="str">
        <f>HYPERLINK("https://freddywills.com/pick/7312/3-play-thursday-night-ncstate-vs-gatech-guaranteed-or-back.html", "NC State -112 3% play ")</f>
        <v xml:space="preserve">NC State -112 3% play </v>
      </c>
      <c r="E460" s="11">
        <v>3</v>
      </c>
      <c r="F460" s="11">
        <v>-1.1200000000000001</v>
      </c>
      <c r="G460" s="11" t="s">
        <v>6</v>
      </c>
      <c r="H460" s="13">
        <v>-3000</v>
      </c>
      <c r="I460" s="14">
        <f t="shared" si="14"/>
        <v>-0.14665590000000009</v>
      </c>
      <c r="J460" s="13">
        <f t="shared" si="15"/>
        <v>313584.26999999996</v>
      </c>
    </row>
    <row r="461" spans="1:10" x14ac:dyDescent="0.25">
      <c r="A461" s="10">
        <v>43788.8125</v>
      </c>
      <c r="B461" s="11" t="s">
        <v>8</v>
      </c>
      <c r="C461" s="11" t="s">
        <v>5</v>
      </c>
      <c r="D461" s="16" t="str">
        <f>HYPERLINK("https://freddywills.com/pick/7311/maction-tuesday-25-15-18-018-l-40-ncaaf-2-bankroll-guaranteed-or-back.html", "Northern Illinois -4 2.2% play ")</f>
        <v xml:space="preserve">Northern Illinois -4 2.2% play </v>
      </c>
      <c r="E461" s="11">
        <v>2.2000000000000002</v>
      </c>
      <c r="F461" s="11">
        <v>-1.1000000000000001</v>
      </c>
      <c r="G461" s="11" t="s">
        <v>6</v>
      </c>
      <c r="H461" s="13">
        <v>-2200</v>
      </c>
      <c r="I461" s="14">
        <f t="shared" si="14"/>
        <v>-0.11665590000000009</v>
      </c>
      <c r="J461" s="13">
        <f t="shared" si="15"/>
        <v>316584.26999999996</v>
      </c>
    </row>
    <row r="462" spans="1:10" x14ac:dyDescent="0.25">
      <c r="A462" s="10">
        <v>43786.684027777781</v>
      </c>
      <c r="B462" s="11" t="s">
        <v>2</v>
      </c>
      <c r="C462" s="11" t="s">
        <v>10</v>
      </c>
      <c r="D462" s="16" t="str">
        <f>HYPERLINK("https://freddywills.com/pick/7307/nfl-teaser-of-the-week-guaranteed-or-back-92-68-59-221-l-160-all-sports-teasers.html", "Eagles +10.5 / Rams pk 2.2% play ")</f>
        <v xml:space="preserve">Eagles +10.5 / Rams pk 2.2% play </v>
      </c>
      <c r="E462" s="11">
        <v>2.2000000000000002</v>
      </c>
      <c r="F462" s="11">
        <v>-1.1000000000000001</v>
      </c>
      <c r="G462" s="11" t="s">
        <v>4</v>
      </c>
      <c r="H462" s="13">
        <v>2000</v>
      </c>
      <c r="I462" s="14">
        <f t="shared" si="14"/>
        <v>-9.4655900000000084E-2</v>
      </c>
      <c r="J462" s="13">
        <f t="shared" si="15"/>
        <v>318784.26999999996</v>
      </c>
    </row>
    <row r="463" spans="1:10" x14ac:dyDescent="0.25">
      <c r="A463" s="10">
        <v>43786.541666666664</v>
      </c>
      <c r="B463" s="11" t="s">
        <v>2</v>
      </c>
      <c r="C463" s="11" t="s">
        <v>18</v>
      </c>
      <c r="D463" s="16" t="str">
        <f>HYPERLINK("https://freddywills.com/pick/7305/5-5-max-rated-nfl-pod-26-12-ats-l38-max-rated-nfl-pod-s-guaranteed-or-back.html", "Colts -135 5.5% NFL POD")</f>
        <v>Colts -135 5.5% NFL POD</v>
      </c>
      <c r="E463" s="11">
        <v>5.5</v>
      </c>
      <c r="F463" s="11">
        <v>-1.35</v>
      </c>
      <c r="G463" s="11" t="s">
        <v>4</v>
      </c>
      <c r="H463" s="13">
        <v>4074</v>
      </c>
      <c r="I463" s="14">
        <f t="shared" si="14"/>
        <v>-0.11465590000000009</v>
      </c>
      <c r="J463" s="13">
        <f t="shared" si="15"/>
        <v>316784.26999999996</v>
      </c>
    </row>
    <row r="464" spans="1:10" x14ac:dyDescent="0.25">
      <c r="A464" s="10">
        <v>43786.541666666664</v>
      </c>
      <c r="B464" s="11" t="s">
        <v>2</v>
      </c>
      <c r="C464" s="11" t="s">
        <v>5</v>
      </c>
      <c r="D464" s="16" t="str">
        <f>HYPERLINK("https://freddywills.com/pick/7306/3-3-nfl-play-guaranteed-or-back-80-57-61-098-l-137-all-sports-3-bankroll.html", "Texans +4.5 3.3% play ")</f>
        <v xml:space="preserve">Texans +4.5 3.3% play </v>
      </c>
      <c r="E464" s="11">
        <v>3.3</v>
      </c>
      <c r="F464" s="11">
        <v>-1.1000000000000001</v>
      </c>
      <c r="G464" s="11" t="s">
        <v>6</v>
      </c>
      <c r="H464" s="13">
        <v>-3300</v>
      </c>
      <c r="I464" s="14">
        <f t="shared" si="14"/>
        <v>-0.15539590000000009</v>
      </c>
      <c r="J464" s="13">
        <f t="shared" si="15"/>
        <v>312710.26999999996</v>
      </c>
    </row>
    <row r="465" spans="1:10" x14ac:dyDescent="0.25">
      <c r="A465" s="10">
        <v>43786.541666666664</v>
      </c>
      <c r="B465" s="11" t="s">
        <v>2</v>
      </c>
      <c r="C465" s="11" t="s">
        <v>5</v>
      </c>
      <c r="D465" s="16" t="str">
        <f>HYPERLINK("https://freddywills.com/pick/7308/nfl-free-pick-of-the-week-49-27-l76-free-nfl-picks.html", "Redskins -2.5 1.1% Free Play ")</f>
        <v xml:space="preserve">Redskins -2.5 1.1% Free Play </v>
      </c>
      <c r="E465" s="11">
        <v>1.1000000000000001</v>
      </c>
      <c r="F465" s="11">
        <v>-1.1000000000000001</v>
      </c>
      <c r="G465" s="11" t="s">
        <v>6</v>
      </c>
      <c r="H465" s="13">
        <v>-1100</v>
      </c>
      <c r="I465" s="14">
        <f t="shared" ref="I465:I528" si="16">(H465/100000)+I466</f>
        <v>-0.1223959000000001</v>
      </c>
      <c r="J465" s="13">
        <f t="shared" ref="J465:J528" si="17">H465+J466</f>
        <v>316010.26999999996</v>
      </c>
    </row>
    <row r="466" spans="1:10" x14ac:dyDescent="0.25">
      <c r="A466" s="10">
        <v>43786.541666666664</v>
      </c>
      <c r="B466" s="11" t="s">
        <v>2</v>
      </c>
      <c r="C466" s="11" t="s">
        <v>5</v>
      </c>
      <c r="D466" s="16" t="str">
        <f>HYPERLINK("https://freddywills.com/pick/7309/nfl-fade-the-world-game-of-the-week-guaranteed-or-back.html", "Lions +7.5 -115 2.5% Play ")</f>
        <v xml:space="preserve">Lions +7.5 -115 2.5% Play </v>
      </c>
      <c r="E466" s="11">
        <v>2.5</v>
      </c>
      <c r="F466" s="11">
        <v>-1.1499999999999999</v>
      </c>
      <c r="G466" s="11" t="s">
        <v>6</v>
      </c>
      <c r="H466" s="13">
        <v>-2500</v>
      </c>
      <c r="I466" s="14">
        <f t="shared" si="16"/>
        <v>-0.1113959000000001</v>
      </c>
      <c r="J466" s="13">
        <f t="shared" si="17"/>
        <v>317110.26999999996</v>
      </c>
    </row>
    <row r="467" spans="1:10" x14ac:dyDescent="0.25">
      <c r="A467" s="10">
        <v>43786.541666666664</v>
      </c>
      <c r="B467" s="11" t="s">
        <v>2</v>
      </c>
      <c r="C467" s="11" t="s">
        <v>5</v>
      </c>
      <c r="D467" s="16" t="str">
        <f>HYPERLINK("https://freddywills.com/pick/7310/2-2-nfl-pick-dolphins-vs-bills-guaranteed-or-back-34-21-24-068-l-55-all-sports-2-bankrol.html", "Dolphins +7 2.2% play ")</f>
        <v xml:space="preserve">Dolphins +7 2.2% play </v>
      </c>
      <c r="E467" s="11">
        <v>2.2000000000000002</v>
      </c>
      <c r="F467" s="11">
        <v>-1.1000000000000001</v>
      </c>
      <c r="G467" s="11" t="s">
        <v>6</v>
      </c>
      <c r="H467" s="13">
        <v>-2200</v>
      </c>
      <c r="I467" s="14">
        <f t="shared" si="16"/>
        <v>-8.6395900000000109E-2</v>
      </c>
      <c r="J467" s="13">
        <f t="shared" si="17"/>
        <v>319610.26999999996</v>
      </c>
    </row>
    <row r="468" spans="1:10" x14ac:dyDescent="0.25">
      <c r="A468" s="10">
        <v>43785.8125</v>
      </c>
      <c r="B468" s="11" t="s">
        <v>8</v>
      </c>
      <c r="C468" s="11" t="s">
        <v>5</v>
      </c>
      <c r="D468" s="16" t="str">
        <f>HYPERLINK("https://freddywills.com/pick/7303/oklahoma-vs-baylor-4-4-ncaaf-pod-guaranteed-or-back-192-147-116-784-l-339-ncaaf-4-bankrol.html", "Baylor +10.5 4.4% NCAAF POD ")</f>
        <v xml:space="preserve">Baylor +10.5 4.4% NCAAF POD </v>
      </c>
      <c r="E468" s="11">
        <v>4.4000000000000004</v>
      </c>
      <c r="F468" s="11">
        <v>-1.1000000000000001</v>
      </c>
      <c r="G468" s="11" t="s">
        <v>4</v>
      </c>
      <c r="H468" s="13">
        <v>4000</v>
      </c>
      <c r="I468" s="14">
        <f t="shared" si="16"/>
        <v>-6.4395900000000117E-2</v>
      </c>
      <c r="J468" s="13">
        <f t="shared" si="17"/>
        <v>321810.26999999996</v>
      </c>
    </row>
    <row r="469" spans="1:10" x14ac:dyDescent="0.25">
      <c r="A469" s="10">
        <v>43785.791666666664</v>
      </c>
      <c r="B469" s="11" t="s">
        <v>8</v>
      </c>
      <c r="C469" s="11" t="s">
        <v>5</v>
      </c>
      <c r="D469" s="16" t="str">
        <f>HYPERLINK("https://freddywills.com/pick/7302/olemiss-vs-lsu-guaranteed-or-back-2-2-play-30-20-ats-l50.html", "Ole Miss +21.5 2.2% play ")</f>
        <v xml:space="preserve">Ole Miss +21.5 2.2% play </v>
      </c>
      <c r="E469" s="11">
        <v>2.2000000000000002</v>
      </c>
      <c r="F469" s="11">
        <v>-1.1000000000000001</v>
      </c>
      <c r="G469" s="11" t="s">
        <v>4</v>
      </c>
      <c r="H469" s="13">
        <v>2000</v>
      </c>
      <c r="I469" s="14">
        <f t="shared" si="16"/>
        <v>-0.10439590000000011</v>
      </c>
      <c r="J469" s="13">
        <f t="shared" si="17"/>
        <v>317810.26999999996</v>
      </c>
    </row>
    <row r="470" spans="1:10" x14ac:dyDescent="0.25">
      <c r="A470" s="10">
        <v>43785.666666666664</v>
      </c>
      <c r="B470" s="11" t="s">
        <v>8</v>
      </c>
      <c r="C470" s="11" t="s">
        <v>5</v>
      </c>
      <c r="D470" s="16" t="str">
        <f>HYPERLINK("https://freddywills.com/pick/7297/2-5-buy-low-game-of-the-week-guaranteed-or-back.html", "Syracuse +10.5 2% Play / Syracuse +340 0.5% bonus")</f>
        <v>Syracuse +10.5 2% Play / Syracuse +340 0.5% bonus</v>
      </c>
      <c r="E470" s="11">
        <v>2</v>
      </c>
      <c r="F470" s="11">
        <v>-1.1000000000000001</v>
      </c>
      <c r="G470" s="11" t="s">
        <v>4</v>
      </c>
      <c r="H470" s="13">
        <v>1818</v>
      </c>
      <c r="I470" s="14">
        <f t="shared" si="16"/>
        <v>-0.12439590000000011</v>
      </c>
      <c r="J470" s="13">
        <f t="shared" si="17"/>
        <v>315810.26999999996</v>
      </c>
    </row>
    <row r="471" spans="1:10" x14ac:dyDescent="0.25">
      <c r="A471" s="10">
        <v>43785.666666666664</v>
      </c>
      <c r="B471" s="11" t="s">
        <v>8</v>
      </c>
      <c r="C471" s="11" t="s">
        <v>18</v>
      </c>
      <c r="D471" s="16" t="str">
        <f>HYPERLINK("https://freddywills.com/pick/7301/bigten-game-of-the-week-iowa-vs-minnesota-3-play.html", "Iowa -145 3% play ")</f>
        <v xml:space="preserve">Iowa -145 3% play </v>
      </c>
      <c r="E471" s="11">
        <v>3</v>
      </c>
      <c r="F471" s="11">
        <v>-1.45</v>
      </c>
      <c r="G471" s="11" t="s">
        <v>4</v>
      </c>
      <c r="H471" s="13">
        <v>2068.9699999999998</v>
      </c>
      <c r="I471" s="14">
        <f t="shared" si="16"/>
        <v>-0.14257590000000012</v>
      </c>
      <c r="J471" s="13">
        <f t="shared" si="17"/>
        <v>313992.26999999996</v>
      </c>
    </row>
    <row r="472" spans="1:10" x14ac:dyDescent="0.25">
      <c r="A472" s="10">
        <v>43785.645833333336</v>
      </c>
      <c r="B472" s="11" t="s">
        <v>8</v>
      </c>
      <c r="C472" s="11" t="s">
        <v>5</v>
      </c>
      <c r="D472" s="16" t="str">
        <f>HYPERLINK("https://freddywills.com/pick/7294/fade-the-public-game-of-the-week-guaranteed-or-back-60-ats-l50-2-plays.html", "West Virginia +14 Fade The Public GOW")</f>
        <v>West Virginia +14 Fade The Public GOW</v>
      </c>
      <c r="E472" s="11">
        <v>2.2000000000000002</v>
      </c>
      <c r="F472" s="11">
        <v>-1.1000000000000001</v>
      </c>
      <c r="G472" s="11" t="s">
        <v>4</v>
      </c>
      <c r="H472" s="13">
        <v>2000</v>
      </c>
      <c r="I472" s="14">
        <f t="shared" si="16"/>
        <v>-0.16326560000000012</v>
      </c>
      <c r="J472" s="13">
        <f t="shared" si="17"/>
        <v>311923.3</v>
      </c>
    </row>
    <row r="473" spans="1:10" x14ac:dyDescent="0.25">
      <c r="A473" s="10">
        <v>43785.645833333336</v>
      </c>
      <c r="B473" s="11" t="s">
        <v>8</v>
      </c>
      <c r="C473" s="11" t="s">
        <v>5</v>
      </c>
      <c r="D473" s="16" t="str">
        <f>HYPERLINK("https://freddywills.com/pick/7295/saturday-s-free-college-football-pick-59-37-21-973-l-96-free-picks.html", "Texas +7 1.1% Free Play ")</f>
        <v xml:space="preserve">Texas +7 1.1% Free Play </v>
      </c>
      <c r="E473" s="11">
        <v>1.1000000000000001</v>
      </c>
      <c r="F473" s="11">
        <v>-1.1000000000000001</v>
      </c>
      <c r="G473" s="11" t="s">
        <v>4</v>
      </c>
      <c r="H473" s="13">
        <v>1000</v>
      </c>
      <c r="I473" s="14">
        <f t="shared" si="16"/>
        <v>-0.18326560000000011</v>
      </c>
      <c r="J473" s="13">
        <f t="shared" si="17"/>
        <v>309923.3</v>
      </c>
    </row>
    <row r="474" spans="1:10" x14ac:dyDescent="0.25">
      <c r="A474" s="10">
        <v>43785.645833333336</v>
      </c>
      <c r="B474" s="11" t="s">
        <v>8</v>
      </c>
      <c r="C474" s="11" t="s">
        <v>5</v>
      </c>
      <c r="D474" s="16" t="str">
        <f>HYPERLINK("https://freddywills.com/pick/7298/sec-game-of-the-week-guaranteed-or-back-georgia-vs-auburn-3-3-play-73-52-l125-3-plays.html", "Auburn +3 3.3% play ")</f>
        <v xml:space="preserve">Auburn +3 3.3% play </v>
      </c>
      <c r="E474" s="11">
        <v>3.3</v>
      </c>
      <c r="F474" s="11">
        <v>-1.1000000000000001</v>
      </c>
      <c r="G474" s="11" t="s">
        <v>6</v>
      </c>
      <c r="H474" s="13">
        <v>-3300</v>
      </c>
      <c r="I474" s="14">
        <f t="shared" si="16"/>
        <v>-0.19326560000000012</v>
      </c>
      <c r="J474" s="13">
        <f t="shared" si="17"/>
        <v>308923.3</v>
      </c>
    </row>
    <row r="475" spans="1:10" x14ac:dyDescent="0.25">
      <c r="A475" s="10">
        <v>43785.645833333336</v>
      </c>
      <c r="B475" s="11" t="s">
        <v>8</v>
      </c>
      <c r="C475" s="11" t="s">
        <v>18</v>
      </c>
      <c r="D475" s="16" t="str">
        <f>HYPERLINK("https://freddywills.com/pick/7304/syracuse-ml-bonus-play-released-with-spread.html", "Syracuse +340 0.5% play ")</f>
        <v xml:space="preserve">Syracuse +340 0.5% play </v>
      </c>
      <c r="E475" s="11">
        <v>0.5</v>
      </c>
      <c r="F475" s="11">
        <v>3.4</v>
      </c>
      <c r="G475" s="11" t="s">
        <v>4</v>
      </c>
      <c r="H475" s="13">
        <v>1700</v>
      </c>
      <c r="I475" s="14">
        <f t="shared" si="16"/>
        <v>-0.16026560000000012</v>
      </c>
      <c r="J475" s="13">
        <f t="shared" si="17"/>
        <v>312223.3</v>
      </c>
    </row>
    <row r="476" spans="1:10" x14ac:dyDescent="0.25">
      <c r="A476" s="10">
        <v>43785.5</v>
      </c>
      <c r="B476" s="11" t="s">
        <v>8</v>
      </c>
      <c r="C476" s="11" t="s">
        <v>5</v>
      </c>
      <c r="D476" s="16" t="str">
        <f>HYPERLINK("https://freddywills.com/pick/7292/alabama-vs-missstate-guaranteed-or-back-3-3-play.html", "Alabama -20 3.3% play ")</f>
        <v xml:space="preserve">Alabama -20 3.3% play </v>
      </c>
      <c r="E476" s="11">
        <v>3.3</v>
      </c>
      <c r="F476" s="11">
        <v>-1.1000000000000001</v>
      </c>
      <c r="G476" s="11" t="s">
        <v>4</v>
      </c>
      <c r="H476" s="13">
        <v>3000</v>
      </c>
      <c r="I476" s="14">
        <f t="shared" si="16"/>
        <v>-0.17726560000000011</v>
      </c>
      <c r="J476" s="13">
        <f t="shared" si="17"/>
        <v>310523.3</v>
      </c>
    </row>
    <row r="477" spans="1:10" x14ac:dyDescent="0.25">
      <c r="A477" s="10">
        <v>43785.5</v>
      </c>
      <c r="B477" s="11" t="s">
        <v>8</v>
      </c>
      <c r="C477" s="11" t="s">
        <v>18</v>
      </c>
      <c r="D477" s="16" t="str">
        <f>HYPERLINK("https://freddywills.com/pick/7296/3-money-line-dog-of-the-week-81-104-110-269-l-185-ncaaf-money-lines-guaranteed-or-back.html", "Texas Tech +140 3% ML Dog of the Week")</f>
        <v>Texas Tech +140 3% ML Dog of the Week</v>
      </c>
      <c r="E477" s="11">
        <v>3</v>
      </c>
      <c r="F477" s="11">
        <v>1.4</v>
      </c>
      <c r="G477" s="11" t="s">
        <v>6</v>
      </c>
      <c r="H477" s="13">
        <v>-3000</v>
      </c>
      <c r="I477" s="14">
        <f t="shared" si="16"/>
        <v>-0.20726560000000011</v>
      </c>
      <c r="J477" s="13">
        <f t="shared" si="17"/>
        <v>307523.3</v>
      </c>
    </row>
    <row r="478" spans="1:10" x14ac:dyDescent="0.25">
      <c r="A478" s="10">
        <v>43785.5</v>
      </c>
      <c r="B478" s="11" t="s">
        <v>8</v>
      </c>
      <c r="C478" s="11" t="s">
        <v>5</v>
      </c>
      <c r="D478" s="16" t="str">
        <f>HYPERLINK("https://freddywills.com/pick/7300/2-2-premium-newsletter-play-guaranteed-or-back-florida-vs-missouri.html", "Missouri +7 2.2% play ")</f>
        <v xml:space="preserve">Missouri +7 2.2% play </v>
      </c>
      <c r="E478" s="11">
        <v>2.2000000000000002</v>
      </c>
      <c r="F478" s="11">
        <v>-1.1000000000000001</v>
      </c>
      <c r="G478" s="11" t="s">
        <v>6</v>
      </c>
      <c r="H478" s="13">
        <v>-2200</v>
      </c>
      <c r="I478" s="14">
        <f t="shared" si="16"/>
        <v>-0.17726560000000011</v>
      </c>
      <c r="J478" s="13">
        <f t="shared" si="17"/>
        <v>310523.3</v>
      </c>
    </row>
    <row r="479" spans="1:10" x14ac:dyDescent="0.25">
      <c r="A479" s="10">
        <v>43784.895833333336</v>
      </c>
      <c r="B479" s="11" t="s">
        <v>8</v>
      </c>
      <c r="C479" s="11" t="s">
        <v>18</v>
      </c>
      <c r="D479" s="16" t="str">
        <f>HYPERLINK("https://freddywills.com/pick/7299/friday-night-lights-guaranteed-or-back-sdst-vs-fresno.html", "San Diego State -1.15 3% play ")</f>
        <v xml:space="preserve">San Diego State -1.15 3% play </v>
      </c>
      <c r="E479" s="11">
        <v>3</v>
      </c>
      <c r="F479" s="11">
        <v>-1.1499999999999999</v>
      </c>
      <c r="G479" s="11" t="s">
        <v>4</v>
      </c>
      <c r="H479" s="13">
        <v>2608.6999999999998</v>
      </c>
      <c r="I479" s="14">
        <f t="shared" si="16"/>
        <v>-0.15526560000000011</v>
      </c>
      <c r="J479" s="13">
        <f t="shared" si="17"/>
        <v>312723.3</v>
      </c>
    </row>
    <row r="480" spans="1:10" x14ac:dyDescent="0.25">
      <c r="A480" s="10">
        <v>43783.833333333336</v>
      </c>
      <c r="B480" s="11" t="s">
        <v>8</v>
      </c>
      <c r="C480" s="11" t="s">
        <v>5</v>
      </c>
      <c r="D480" s="16" t="str">
        <f>HYPERLINK("https://freddywills.com/pick/7293/acc-thursday-night-battle-guaranteed-or-back.html", "Pitt -4 2.2% play NCAAF")</f>
        <v>Pitt -4 2.2% play NCAAF</v>
      </c>
      <c r="E480" s="11">
        <v>2.2000000000000002</v>
      </c>
      <c r="F480" s="11">
        <v>-1.1000000000000001</v>
      </c>
      <c r="G480" s="11" t="s">
        <v>4</v>
      </c>
      <c r="H480" s="13">
        <v>2000</v>
      </c>
      <c r="I480" s="14">
        <f t="shared" si="16"/>
        <v>-0.18135260000000011</v>
      </c>
      <c r="J480" s="13">
        <f t="shared" si="17"/>
        <v>310114.59999999998</v>
      </c>
    </row>
    <row r="481" spans="1:10" x14ac:dyDescent="0.25">
      <c r="A481" s="10">
        <v>43781.650694444441</v>
      </c>
      <c r="B481" s="11" t="s">
        <v>8</v>
      </c>
      <c r="C481" s="11" t="s">
        <v>5</v>
      </c>
      <c r="D481" s="16" t="str">
        <f>HYPERLINK("https://freddywills.com/pick/7291/maction-tuesday-ohio-vs-western-michigan-guaranteed-or-back.html", "Western Michigan -1 2.2% play ")</f>
        <v xml:space="preserve">Western Michigan -1 2.2% play </v>
      </c>
      <c r="E481" s="11">
        <v>2.2000000000000002</v>
      </c>
      <c r="F481" s="11">
        <v>-1.1000000000000001</v>
      </c>
      <c r="G481" s="11" t="s">
        <v>4</v>
      </c>
      <c r="H481" s="13">
        <v>2000</v>
      </c>
      <c r="I481" s="14">
        <f t="shared" si="16"/>
        <v>-0.2013526000000001</v>
      </c>
      <c r="J481" s="13">
        <f t="shared" si="17"/>
        <v>308114.59999999998</v>
      </c>
    </row>
    <row r="482" spans="1:10" x14ac:dyDescent="0.25">
      <c r="A482" s="10">
        <v>43779.847222222219</v>
      </c>
      <c r="B482" s="11" t="s">
        <v>2</v>
      </c>
      <c r="C482" s="11" t="s">
        <v>5</v>
      </c>
      <c r="D482" s="16" t="str">
        <f>HYPERLINK("https://freddywills.com/pick/7287/sunday-night-football-cowboys-vs-vikings-52-36-47-991-l-88-nfl-3-bankroll.html", "Cowboys -3 -120 3% play ")</f>
        <v xml:space="preserve">Cowboys -3 -120 3% play </v>
      </c>
      <c r="E482" s="11">
        <v>3</v>
      </c>
      <c r="F482" s="11">
        <v>-1.2</v>
      </c>
      <c r="G482" s="11" t="s">
        <v>6</v>
      </c>
      <c r="H482" s="13">
        <v>-3000</v>
      </c>
      <c r="I482" s="14">
        <f t="shared" si="16"/>
        <v>-0.22135260000000009</v>
      </c>
      <c r="J482" s="13">
        <f t="shared" si="17"/>
        <v>306114.59999999998</v>
      </c>
    </row>
    <row r="483" spans="1:10" x14ac:dyDescent="0.25">
      <c r="A483" s="10">
        <v>43779.541666666664</v>
      </c>
      <c r="B483" s="11" t="s">
        <v>2</v>
      </c>
      <c r="C483" s="11" t="s">
        <v>5</v>
      </c>
      <c r="D483" s="16" t="str">
        <f>HYPERLINK("https://freddywills.com/pick/7281/5-5-max-nfl-pod-guaranteed-or-back-52-28-l80-65-7-1-ats-this-year.html", "Titans +6 5.5% NFL POD")</f>
        <v>Titans +6 5.5% NFL POD</v>
      </c>
      <c r="E483" s="11">
        <v>5.5</v>
      </c>
      <c r="F483" s="11">
        <v>-1.1000000000000001</v>
      </c>
      <c r="G483" s="11" t="s">
        <v>4</v>
      </c>
      <c r="H483" s="13">
        <v>5000</v>
      </c>
      <c r="I483" s="14">
        <f t="shared" si="16"/>
        <v>-0.19135260000000009</v>
      </c>
      <c r="J483" s="13">
        <f t="shared" si="17"/>
        <v>309114.59999999998</v>
      </c>
    </row>
    <row r="484" spans="1:10" x14ac:dyDescent="0.25">
      <c r="A484" s="10">
        <v>43779.541666666664</v>
      </c>
      <c r="B484" s="11" t="s">
        <v>2</v>
      </c>
      <c r="C484" s="11" t="s">
        <v>5</v>
      </c>
      <c r="D484" s="16" t="str">
        <f>HYPERLINK("https://freddywills.com/pick/7288/sunday-s-free-nfl-pick-49-26-37-627-l-75-nfl.html", "Bengals +10.5 1.1% Free Play")</f>
        <v>Bengals +10.5 1.1% Free Play</v>
      </c>
      <c r="E484" s="11">
        <v>1.1000000000000001</v>
      </c>
      <c r="F484" s="11">
        <v>-1.1000000000000001</v>
      </c>
      <c r="G484" s="11" t="s">
        <v>6</v>
      </c>
      <c r="H484" s="13">
        <v>-1100</v>
      </c>
      <c r="I484" s="14">
        <f t="shared" si="16"/>
        <v>-0.24135260000000011</v>
      </c>
      <c r="J484" s="13">
        <f t="shared" si="17"/>
        <v>304114.59999999998</v>
      </c>
    </row>
    <row r="485" spans="1:10" x14ac:dyDescent="0.25">
      <c r="A485" s="10">
        <v>43779.541666666664</v>
      </c>
      <c r="B485" s="11" t="s">
        <v>2</v>
      </c>
      <c r="C485" s="11" t="s">
        <v>5</v>
      </c>
      <c r="D485" s="16" t="str">
        <f>HYPERLINK("https://freddywills.com/pick/7289/3-3-play-guaranteed-or-back-73-49-67-221-l-122-all-sports-3-bankroll.html", "Tampa Bay Bucs -5 3.3% play ")</f>
        <v xml:space="preserve">Tampa Bay Bucs -5 3.3% play </v>
      </c>
      <c r="E485" s="11">
        <v>3.3</v>
      </c>
      <c r="F485" s="11">
        <v>-1.1000000000000001</v>
      </c>
      <c r="G485" s="11" t="s">
        <v>6</v>
      </c>
      <c r="H485" s="13">
        <v>-3300</v>
      </c>
      <c r="I485" s="14">
        <f t="shared" si="16"/>
        <v>-0.2303526000000001</v>
      </c>
      <c r="J485" s="13">
        <f t="shared" si="17"/>
        <v>305214.59999999998</v>
      </c>
    </row>
    <row r="486" spans="1:10" x14ac:dyDescent="0.25">
      <c r="A486" s="10">
        <v>43778.833333333336</v>
      </c>
      <c r="B486" s="11" t="s">
        <v>8</v>
      </c>
      <c r="C486" s="11" t="s">
        <v>5</v>
      </c>
      <c r="D486" s="16" t="str">
        <f>HYPERLINK("https://freddywills.com/pick/7286/iowastate-vs-oklahoma-guaranteed-or-back-72-48-67-521-l-120-all-sports-3-bankroll.html", "Iowa State +14.5 3.3% play ")</f>
        <v xml:space="preserve">Iowa State +14.5 3.3% play </v>
      </c>
      <c r="E486" s="11">
        <v>3.3</v>
      </c>
      <c r="F486" s="11">
        <v>-1.1000000000000001</v>
      </c>
      <c r="G486" s="11" t="s">
        <v>4</v>
      </c>
      <c r="H486" s="13">
        <v>3000</v>
      </c>
      <c r="I486" s="14">
        <f t="shared" si="16"/>
        <v>-0.1973526000000001</v>
      </c>
      <c r="J486" s="13">
        <f t="shared" si="17"/>
        <v>308514.59999999998</v>
      </c>
    </row>
    <row r="487" spans="1:10" x14ac:dyDescent="0.25">
      <c r="A487" s="10">
        <v>43778.8125</v>
      </c>
      <c r="B487" s="11" t="s">
        <v>8</v>
      </c>
      <c r="C487" s="11" t="s">
        <v>5</v>
      </c>
      <c r="D487" s="16" t="str">
        <f>HYPERLINK("https://freddywills.com/pick/7284/3-fade-the-public-game-of-the-week-76-51-l127-3-bankroll-plays-guaranteed-or-back.html", "Duke +8 3.3% fade the public play of the week")</f>
        <v>Duke +8 3.3% fade the public play of the week</v>
      </c>
      <c r="E487" s="11">
        <v>3.3</v>
      </c>
      <c r="F487" s="11">
        <v>-1.1000000000000001</v>
      </c>
      <c r="G487" s="11" t="s">
        <v>6</v>
      </c>
      <c r="H487" s="13">
        <v>-3300</v>
      </c>
      <c r="I487" s="14">
        <f t="shared" si="16"/>
        <v>-0.2273526000000001</v>
      </c>
      <c r="J487" s="13">
        <f t="shared" si="17"/>
        <v>305514.59999999998</v>
      </c>
    </row>
    <row r="488" spans="1:10" x14ac:dyDescent="0.25">
      <c r="A488" s="10">
        <v>43778.791666666664</v>
      </c>
      <c r="B488" s="11" t="s">
        <v>8</v>
      </c>
      <c r="C488" s="11" t="s">
        <v>5</v>
      </c>
      <c r="D488" s="16" t="str">
        <f>HYPERLINK("https://freddywills.com/pick/7285/5-5-ncaaf-pod-guaranteed-or-back-92-62-l154-max-rated-plays.html", "California +7.5 5.5% NCAAF POD")</f>
        <v>California +7.5 5.5% NCAAF POD</v>
      </c>
      <c r="E488" s="11">
        <v>5.5</v>
      </c>
      <c r="F488" s="11">
        <v>-1.1000000000000001</v>
      </c>
      <c r="G488" s="11" t="s">
        <v>4</v>
      </c>
      <c r="H488" s="13">
        <v>5000</v>
      </c>
      <c r="I488" s="14">
        <f t="shared" si="16"/>
        <v>-0.1943526000000001</v>
      </c>
      <c r="J488" s="13">
        <f t="shared" si="17"/>
        <v>308814.59999999998</v>
      </c>
    </row>
    <row r="489" spans="1:10" x14ac:dyDescent="0.25">
      <c r="A489" s="10">
        <v>43778.645833333336</v>
      </c>
      <c r="B489" s="11" t="s">
        <v>8</v>
      </c>
      <c r="C489" s="11" t="s">
        <v>5</v>
      </c>
      <c r="D489" s="16" t="str">
        <f>HYPERLINK("https://freddywills.com/pick/7277/lsu-vs-alabama-4-4-play-bonus-guaranteed-or-back-4-4-play.html", "Alabama -6 4.4% play / Tua to win Heisman +375 2% play")</f>
        <v>Alabama -6 4.4% play / Tua to win Heisman +375 2% play</v>
      </c>
      <c r="E489" s="11">
        <v>4.4000000000000004</v>
      </c>
      <c r="F489" s="11">
        <v>-1.1000000000000001</v>
      </c>
      <c r="G489" s="11" t="s">
        <v>6</v>
      </c>
      <c r="H489" s="13">
        <v>-4400</v>
      </c>
      <c r="I489" s="14">
        <f t="shared" si="16"/>
        <v>-0.24435260000000009</v>
      </c>
      <c r="J489" s="13">
        <f t="shared" si="17"/>
        <v>303814.59999999998</v>
      </c>
    </row>
    <row r="490" spans="1:10" x14ac:dyDescent="0.25">
      <c r="A490" s="10">
        <v>43778.645833333336</v>
      </c>
      <c r="B490" s="11" t="s">
        <v>8</v>
      </c>
      <c r="C490" s="11" t="s">
        <v>5</v>
      </c>
      <c r="D490" s="16" t="str">
        <f>HYPERLINK("https://freddywills.com/pick/7279/saturday-s-sell-high-game-of-the-week-212-182-ats-l394-ncaaf-november-picks-guaranteed-or-bac.html", "Virginia Tech +2 2.2% play ")</f>
        <v xml:space="preserve">Virginia Tech +2 2.2% play </v>
      </c>
      <c r="E490" s="11">
        <v>2.2000000000000002</v>
      </c>
      <c r="F490" s="11">
        <v>-1.1000000000000001</v>
      </c>
      <c r="G490" s="11" t="s">
        <v>4</v>
      </c>
      <c r="H490" s="13">
        <v>2000</v>
      </c>
      <c r="I490" s="14">
        <f t="shared" si="16"/>
        <v>-0.20035260000000008</v>
      </c>
      <c r="J490" s="13">
        <f t="shared" si="17"/>
        <v>308214.59999999998</v>
      </c>
    </row>
    <row r="491" spans="1:10" x14ac:dyDescent="0.25">
      <c r="A491" s="10">
        <v>43778.645833333336</v>
      </c>
      <c r="B491" s="11" t="s">
        <v>8</v>
      </c>
      <c r="C491" s="11" t="s">
        <v>10</v>
      </c>
      <c r="D491" s="16" t="str">
        <f>HYPERLINK("https://freddywills.com/pick/7282/teaser-of-the-week-guaranteed-or-back-92-67-63-621-l-159-all-sports-teasers.html", "Wisconsin -2.5 / Texas -1 4.4% Teaser of the Week ")</f>
        <v xml:space="preserve">Wisconsin -2.5 / Texas -1 4.4% Teaser of the Week </v>
      </c>
      <c r="E491" s="11">
        <v>4.4000000000000004</v>
      </c>
      <c r="F491" s="11">
        <v>-1.1000000000000001</v>
      </c>
      <c r="G491" s="11" t="s">
        <v>6</v>
      </c>
      <c r="H491" s="13">
        <v>-4400</v>
      </c>
      <c r="I491" s="14">
        <f t="shared" si="16"/>
        <v>-0.22035260000000007</v>
      </c>
      <c r="J491" s="13">
        <f t="shared" si="17"/>
        <v>306214.59999999998</v>
      </c>
    </row>
    <row r="492" spans="1:10" x14ac:dyDescent="0.25">
      <c r="A492" s="10">
        <v>43778.5</v>
      </c>
      <c r="B492" s="11" t="s">
        <v>8</v>
      </c>
      <c r="C492" s="11" t="s">
        <v>5</v>
      </c>
      <c r="D492" s="16" t="str">
        <f>HYPERLINK("https://freddywills.com/pick/7283/saturday-s-college-football-free-pick-63-40-l103-free-picks.html", "TCU +3 2.2% Free Play")</f>
        <v>TCU +3 2.2% Free Play</v>
      </c>
      <c r="E492" s="11">
        <v>2.2000000000000002</v>
      </c>
      <c r="F492" s="11">
        <v>-1.1000000000000001</v>
      </c>
      <c r="G492" s="11" t="s">
        <v>6</v>
      </c>
      <c r="H492" s="13">
        <v>-2200</v>
      </c>
      <c r="I492" s="14">
        <f t="shared" si="16"/>
        <v>-0.17635260000000005</v>
      </c>
      <c r="J492" s="13">
        <f t="shared" si="17"/>
        <v>310614.59999999998</v>
      </c>
    </row>
    <row r="493" spans="1:10" x14ac:dyDescent="0.25">
      <c r="A493" s="10">
        <v>43778.354166666664</v>
      </c>
      <c r="B493" s="11" t="s">
        <v>8</v>
      </c>
      <c r="C493" s="11" t="s">
        <v>3</v>
      </c>
      <c r="D493" s="16" t="str">
        <f>HYPERLINK("https://freddywills.com/pick/7290/heisman-trophy-winner.html", "Tua to win the Heisman 1% play @ +375")</f>
        <v>Tua to win the Heisman 1% play @ +375</v>
      </c>
      <c r="E493" s="11">
        <v>1</v>
      </c>
      <c r="F493" s="11">
        <v>3.75</v>
      </c>
      <c r="G493" s="11" t="s">
        <v>6</v>
      </c>
      <c r="H493" s="13">
        <v>-1000</v>
      </c>
      <c r="I493" s="14">
        <f t="shared" si="16"/>
        <v>-0.15435260000000006</v>
      </c>
      <c r="J493" s="13">
        <f t="shared" si="17"/>
        <v>312814.59999999998</v>
      </c>
    </row>
    <row r="494" spans="1:10" x14ac:dyDescent="0.25">
      <c r="A494" s="10">
        <v>43778.006249999999</v>
      </c>
      <c r="B494" s="11" t="s">
        <v>8</v>
      </c>
      <c r="C494" s="11" t="s">
        <v>5</v>
      </c>
      <c r="D494" s="16" t="str">
        <f>HYPERLINK("https://freddywills.com/pick/7280/3-3-premium-newsletter-play-76-51-run-on-3-plays-all-sports-59-winners-guaranteed-or-b.html", "Louisville +7 3.3% play ")</f>
        <v xml:space="preserve">Louisville +7 3.3% play </v>
      </c>
      <c r="E494" s="11">
        <v>3.3</v>
      </c>
      <c r="F494" s="11">
        <v>-1.1000000000000001</v>
      </c>
      <c r="G494" s="11" t="s">
        <v>6</v>
      </c>
      <c r="H494" s="13">
        <v>-3300</v>
      </c>
      <c r="I494" s="14">
        <f t="shared" si="16"/>
        <v>-0.14435260000000005</v>
      </c>
      <c r="J494" s="13">
        <f t="shared" si="17"/>
        <v>313814.59999999998</v>
      </c>
    </row>
    <row r="495" spans="1:10" x14ac:dyDescent="0.25">
      <c r="A495" s="10">
        <v>43774.833333333336</v>
      </c>
      <c r="B495" s="11" t="s">
        <v>8</v>
      </c>
      <c r="C495" s="11" t="s">
        <v>5</v>
      </c>
      <c r="D495" s="16" t="str">
        <f>HYPERLINK("https://freddywills.com/pick/7278/ball-state-vs-western-michigan-guaranteed-or-back-2-2-play.html", "Western Michigan -6.5 2.2% play ")</f>
        <v xml:space="preserve">Western Michigan -6.5 2.2% play </v>
      </c>
      <c r="E495" s="11">
        <v>2.2000000000000002</v>
      </c>
      <c r="F495" s="11">
        <v>-1.1000000000000001</v>
      </c>
      <c r="G495" s="11" t="s">
        <v>6</v>
      </c>
      <c r="H495" s="13">
        <v>-2200</v>
      </c>
      <c r="I495" s="14">
        <f t="shared" si="16"/>
        <v>-0.11135260000000005</v>
      </c>
      <c r="J495" s="13">
        <f t="shared" si="17"/>
        <v>317114.59999999998</v>
      </c>
    </row>
    <row r="496" spans="1:10" x14ac:dyDescent="0.25">
      <c r="A496" s="10">
        <v>43772.847222222219</v>
      </c>
      <c r="B496" s="11" t="s">
        <v>2</v>
      </c>
      <c r="C496" s="11" t="s">
        <v>7</v>
      </c>
      <c r="D496" s="16" t="str">
        <f>HYPERLINK("https://freddywills.com/pick/7271/nfl-max-pod-guaranteed-or-back-7-1-ats-this-year-51-28-120-030-l-79-max-rated-nfl-picks.html", "Ravens +3 +100 5.5% NFL POD")</f>
        <v>Ravens +3 +100 5.5% NFL POD</v>
      </c>
      <c r="E496" s="11">
        <v>5.5</v>
      </c>
      <c r="F496" s="11">
        <v>1</v>
      </c>
      <c r="G496" s="11" t="s">
        <v>4</v>
      </c>
      <c r="H496" s="13">
        <v>5500</v>
      </c>
      <c r="I496" s="14">
        <f t="shared" si="16"/>
        <v>-8.935260000000006E-2</v>
      </c>
      <c r="J496" s="13">
        <f t="shared" si="17"/>
        <v>319314.59999999998</v>
      </c>
    </row>
    <row r="497" spans="1:10" x14ac:dyDescent="0.25">
      <c r="A497" s="10">
        <v>43772.684027777781</v>
      </c>
      <c r="B497" s="11" t="s">
        <v>2</v>
      </c>
      <c r="C497" s="11" t="s">
        <v>5</v>
      </c>
      <c r="D497" s="16" t="str">
        <f>HYPERLINK("https://freddywills.com/pick/7273/48-29-ats-l78-nfl-picks-tampa-vs-seattle.html", "Buccaneers +5 2.2% play")</f>
        <v>Buccaneers +5 2.2% play</v>
      </c>
      <c r="E497" s="11">
        <v>2.2000000000000002</v>
      </c>
      <c r="F497" s="11">
        <v>-1.1000000000000001</v>
      </c>
      <c r="G497" s="11" t="s">
        <v>6</v>
      </c>
      <c r="H497" s="13">
        <v>-2200</v>
      </c>
      <c r="I497" s="14">
        <f t="shared" si="16"/>
        <v>-0.14435260000000005</v>
      </c>
      <c r="J497" s="13">
        <f t="shared" si="17"/>
        <v>313814.59999999998</v>
      </c>
    </row>
    <row r="498" spans="1:10" x14ac:dyDescent="0.25">
      <c r="A498" s="10">
        <v>43772.684027777781</v>
      </c>
      <c r="B498" s="11" t="s">
        <v>2</v>
      </c>
      <c r="C498" s="11" t="s">
        <v>5</v>
      </c>
      <c r="D498" s="16" t="str">
        <f>HYPERLINK("https://freddywills.com/pick/7275/chargers-vs-packers-3-3-nfl-pick-51-36-44-991-l-87-nfl-3-bankroll.html", "Chargers +4 3.3% play ")</f>
        <v xml:space="preserve">Chargers +4 3.3% play </v>
      </c>
      <c r="E498" s="11">
        <v>3.3</v>
      </c>
      <c r="F498" s="11">
        <v>-1.1000000000000001</v>
      </c>
      <c r="G498" s="11" t="s">
        <v>4</v>
      </c>
      <c r="H498" s="13">
        <v>3000</v>
      </c>
      <c r="I498" s="14">
        <f t="shared" si="16"/>
        <v>-0.12235260000000006</v>
      </c>
      <c r="J498" s="13">
        <f t="shared" si="17"/>
        <v>316014.59999999998</v>
      </c>
    </row>
    <row r="499" spans="1:10" x14ac:dyDescent="0.25">
      <c r="A499" s="10">
        <v>43772.541666666664</v>
      </c>
      <c r="B499" s="11" t="s">
        <v>2</v>
      </c>
      <c r="C499" s="11" t="s">
        <v>7</v>
      </c>
      <c r="D499" s="16" t="str">
        <f>HYPERLINK("https://freddywills.com/pick/7272/nfl-total-of-the-week-chiefs-vs-vikings.html", "Vikings /Chiefs Over 46 2.2% play")</f>
        <v>Vikings /Chiefs Over 46 2.2% play</v>
      </c>
      <c r="E499" s="11">
        <v>2.2000000000000002</v>
      </c>
      <c r="F499" s="11">
        <v>-1.1000000000000001</v>
      </c>
      <c r="G499" s="11" t="s">
        <v>4</v>
      </c>
      <c r="H499" s="13">
        <v>2000</v>
      </c>
      <c r="I499" s="14">
        <f t="shared" si="16"/>
        <v>-0.15235260000000006</v>
      </c>
      <c r="J499" s="13">
        <f t="shared" si="17"/>
        <v>313014.59999999998</v>
      </c>
    </row>
    <row r="500" spans="1:10" x14ac:dyDescent="0.25">
      <c r="A500" s="10">
        <v>43772.5</v>
      </c>
      <c r="B500" s="11" t="s">
        <v>2</v>
      </c>
      <c r="C500" s="11" t="s">
        <v>5</v>
      </c>
      <c r="D500" s="16" t="str">
        <f>HYPERLINK("https://freddywills.com/pick/7274/bears-vs-eagles-guaranteed-or-back-85-62-ats-l147-nfl-picks.html", "Bears +5.5 2.2% play ")</f>
        <v xml:space="preserve">Bears +5.5 2.2% play </v>
      </c>
      <c r="E500" s="11">
        <v>2.2000000000000002</v>
      </c>
      <c r="F500" s="11">
        <v>-1.1000000000000001</v>
      </c>
      <c r="G500" s="11" t="s">
        <v>6</v>
      </c>
      <c r="H500" s="13">
        <v>-2200</v>
      </c>
      <c r="I500" s="14">
        <f t="shared" si="16"/>
        <v>-0.17235260000000005</v>
      </c>
      <c r="J500" s="13">
        <f t="shared" si="17"/>
        <v>311014.59999999998</v>
      </c>
    </row>
    <row r="501" spans="1:10" x14ac:dyDescent="0.25">
      <c r="A501" s="10">
        <v>43771.916666666664</v>
      </c>
      <c r="B501" s="11" t="s">
        <v>8</v>
      </c>
      <c r="C501" s="11" t="s">
        <v>5</v>
      </c>
      <c r="D501" s="16" t="str">
        <f>HYPERLINK("https://freddywills.com/pick/7268/money-line-dog-of-the-week-67-71-125-310-l-138-all-sports-money-lines.html", "BYU +145 3% ML Dog of the Week ")</f>
        <v xml:space="preserve">BYU +145 3% ML Dog of the Week </v>
      </c>
      <c r="E501" s="11">
        <v>3</v>
      </c>
      <c r="F501" s="11">
        <v>1.45</v>
      </c>
      <c r="G501" s="11" t="s">
        <v>4</v>
      </c>
      <c r="H501" s="13">
        <v>4350</v>
      </c>
      <c r="I501" s="14">
        <f t="shared" si="16"/>
        <v>-0.15035260000000006</v>
      </c>
      <c r="J501" s="13">
        <f t="shared" si="17"/>
        <v>313214.59999999998</v>
      </c>
    </row>
    <row r="502" spans="1:10" x14ac:dyDescent="0.25">
      <c r="A502" s="10">
        <v>43771.833333333336</v>
      </c>
      <c r="B502" s="11" t="s">
        <v>8</v>
      </c>
      <c r="C502" s="11" t="s">
        <v>5</v>
      </c>
      <c r="D502" s="16" t="str">
        <f>HYPERLINK("https://freddywills.com/pick/7265/saturday-s-free-pick-58-35-l93-free-picks-oregon-vs-usc.html", "Oregon -4 1.1% Free Play")</f>
        <v>Oregon -4 1.1% Free Play</v>
      </c>
      <c r="E502" s="11">
        <v>1.1000000000000001</v>
      </c>
      <c r="F502" s="11">
        <v>-1.1000000000000001</v>
      </c>
      <c r="G502" s="11" t="s">
        <v>4</v>
      </c>
      <c r="H502" s="13">
        <v>1000</v>
      </c>
      <c r="I502" s="14">
        <f t="shared" si="16"/>
        <v>-0.19385260000000004</v>
      </c>
      <c r="J502" s="13">
        <f t="shared" si="17"/>
        <v>308864.59999999998</v>
      </c>
    </row>
    <row r="503" spans="1:10" x14ac:dyDescent="0.25">
      <c r="A503" s="10">
        <v>43771.791666666664</v>
      </c>
      <c r="B503" s="11" t="s">
        <v>8</v>
      </c>
      <c r="C503" s="11" t="s">
        <v>5</v>
      </c>
      <c r="D503" s="16" t="str">
        <f>HYPERLINK("https://freddywills.com/pick/7266/tennessee-vs-uab-25-16-17-250-l-41-all-sports-2-bankroll.html", "Tennessee -12 2.2% play ")</f>
        <v xml:space="preserve">Tennessee -12 2.2% play </v>
      </c>
      <c r="E503" s="11">
        <v>2.2000000000000002</v>
      </c>
      <c r="F503" s="11">
        <v>-1.1000000000000001</v>
      </c>
      <c r="G503" s="11" t="s">
        <v>4</v>
      </c>
      <c r="H503" s="13">
        <v>2000</v>
      </c>
      <c r="I503" s="14">
        <f t="shared" si="16"/>
        <v>-0.20385260000000005</v>
      </c>
      <c r="J503" s="13">
        <f t="shared" si="17"/>
        <v>307864.59999999998</v>
      </c>
    </row>
    <row r="504" spans="1:10" x14ac:dyDescent="0.25">
      <c r="A504" s="10">
        <v>43771.791666666664</v>
      </c>
      <c r="B504" s="11" t="s">
        <v>8</v>
      </c>
      <c r="C504" s="11" t="s">
        <v>5</v>
      </c>
      <c r="D504" s="16" t="str">
        <f>HYPERLINK("https://freddywills.com/pick/7270/big-ten-game-of-the-week-3-3-play-guaranteed-or-back.html", "Northwestern +10.5 3.3% play ")</f>
        <v xml:space="preserve">Northwestern +10.5 3.3% play </v>
      </c>
      <c r="E504" s="11">
        <v>3.3</v>
      </c>
      <c r="F504" s="11">
        <v>-1.1000000000000001</v>
      </c>
      <c r="G504" s="11" t="s">
        <v>6</v>
      </c>
      <c r="H504" s="13">
        <v>-3300</v>
      </c>
      <c r="I504" s="14">
        <f t="shared" si="16"/>
        <v>-0.22385260000000004</v>
      </c>
      <c r="J504" s="13">
        <f t="shared" si="17"/>
        <v>305864.59999999998</v>
      </c>
    </row>
    <row r="505" spans="1:10" x14ac:dyDescent="0.25">
      <c r="A505" s="10">
        <v>43771.666666666664</v>
      </c>
      <c r="B505" s="11" t="s">
        <v>8</v>
      </c>
      <c r="C505" s="11" t="s">
        <v>5</v>
      </c>
      <c r="D505" s="16" t="str">
        <f>HYPERLINK("https://freddywills.com/pick/7264/5-5-ncaaf-max-rated-pod-guaranteed-or-back-next-week-free.html", "Washington +3.5 -115 5.5% NCAAF POD")</f>
        <v>Washington +3.5 -115 5.5% NCAAF POD</v>
      </c>
      <c r="E505" s="11">
        <v>5.5</v>
      </c>
      <c r="F505" s="11">
        <v>-1.1499999999999999</v>
      </c>
      <c r="G505" s="11" t="s">
        <v>6</v>
      </c>
      <c r="H505" s="13">
        <v>-5500</v>
      </c>
      <c r="I505" s="14">
        <f t="shared" si="16"/>
        <v>-0.19085260000000004</v>
      </c>
      <c r="J505" s="13">
        <f t="shared" si="17"/>
        <v>309164.59999999998</v>
      </c>
    </row>
    <row r="506" spans="1:10" x14ac:dyDescent="0.25">
      <c r="A506" s="10">
        <v>43771.645833333336</v>
      </c>
      <c r="B506" s="11" t="s">
        <v>8</v>
      </c>
      <c r="C506" s="11" t="s">
        <v>5</v>
      </c>
      <c r="D506" s="16" t="str">
        <f>HYPERLINK("https://freddywills.com/pick/7267/kansas-vs-kansas-state-3-3-play-47-29-l76-3-plays.html", "Kansas +6 3.3% play ")</f>
        <v xml:space="preserve">Kansas +6 3.3% play </v>
      </c>
      <c r="E506" s="11">
        <v>3.3</v>
      </c>
      <c r="F506" s="11">
        <v>-1.1000000000000001</v>
      </c>
      <c r="G506" s="11" t="s">
        <v>6</v>
      </c>
      <c r="H506" s="13">
        <v>-3300</v>
      </c>
      <c r="I506" s="14">
        <f t="shared" si="16"/>
        <v>-0.13585260000000005</v>
      </c>
      <c r="J506" s="13">
        <f t="shared" si="17"/>
        <v>314664.59999999998</v>
      </c>
    </row>
    <row r="507" spans="1:10" x14ac:dyDescent="0.25">
      <c r="A507" s="10">
        <v>43771.5</v>
      </c>
      <c r="B507" s="11" t="s">
        <v>8</v>
      </c>
      <c r="C507" s="11" t="s">
        <v>5</v>
      </c>
      <c r="D507" s="16" t="str">
        <f>HYPERLINK("https://freddywills.com/pick/7269/premium-newsletter-play-week-10-25-15-ats-career-dog-play-bonus-guaranteed-or-back.html", "NC State +7.5 4.4% play / NC State +250 1% bonus")</f>
        <v>NC State +7.5 4.4% play / NC State +250 1% bonus</v>
      </c>
      <c r="E507" s="11">
        <v>4.4000000000000004</v>
      </c>
      <c r="F507" s="11">
        <v>-1.1000000000000001</v>
      </c>
      <c r="G507" s="11" t="s">
        <v>6</v>
      </c>
      <c r="H507" s="13">
        <v>-4400</v>
      </c>
      <c r="I507" s="14">
        <f t="shared" si="16"/>
        <v>-0.10285260000000004</v>
      </c>
      <c r="J507" s="13">
        <f t="shared" si="17"/>
        <v>317964.59999999998</v>
      </c>
    </row>
    <row r="508" spans="1:10" x14ac:dyDescent="0.25">
      <c r="A508" s="10">
        <v>43771.5</v>
      </c>
      <c r="B508" s="11" t="s">
        <v>8</v>
      </c>
      <c r="C508" s="11" t="s">
        <v>5</v>
      </c>
      <c r="D508" s="16" t="str">
        <f>HYPERLINK("https://freddywills.com/pick/7276/nc-state-money-line-bonus.html", "NC STATE +250 1% BONUS")</f>
        <v>NC STATE +250 1% BONUS</v>
      </c>
      <c r="E508" s="11">
        <v>1</v>
      </c>
      <c r="F508" s="11">
        <v>2.5</v>
      </c>
      <c r="G508" s="11" t="s">
        <v>6</v>
      </c>
      <c r="H508" s="13">
        <v>-1000</v>
      </c>
      <c r="I508" s="14">
        <f t="shared" si="16"/>
        <v>-5.885260000000004E-2</v>
      </c>
      <c r="J508" s="13">
        <f t="shared" si="17"/>
        <v>322364.59999999998</v>
      </c>
    </row>
    <row r="509" spans="1:10" x14ac:dyDescent="0.25">
      <c r="A509" s="10">
        <v>43769.833333333336</v>
      </c>
      <c r="B509" s="11" t="s">
        <v>8</v>
      </c>
      <c r="C509" s="11" t="s">
        <v>5</v>
      </c>
      <c r="D509" s="16" t="str">
        <f>HYPERLINK("https://freddywills.com/pick/7263/georgia-southern-vs-app-state-guaranteed-or-back-just-10.html", "Georgia Southern +14.5 2.2% play ")</f>
        <v xml:space="preserve">Georgia Southern +14.5 2.2% play </v>
      </c>
      <c r="E509" s="11">
        <v>2.2000000000000002</v>
      </c>
      <c r="F509" s="11">
        <v>-1.1000000000000001</v>
      </c>
      <c r="G509" s="11" t="s">
        <v>4</v>
      </c>
      <c r="H509" s="13">
        <v>2000</v>
      </c>
      <c r="I509" s="14">
        <f t="shared" si="16"/>
        <v>-4.8852600000000038E-2</v>
      </c>
      <c r="J509" s="13">
        <f t="shared" si="17"/>
        <v>323364.59999999998</v>
      </c>
    </row>
    <row r="510" spans="1:10" x14ac:dyDescent="0.25">
      <c r="A510" s="10">
        <v>43765.847222222219</v>
      </c>
      <c r="B510" s="11" t="s">
        <v>2</v>
      </c>
      <c r="C510" s="11" t="s">
        <v>5</v>
      </c>
      <c r="D510" s="16" t="str">
        <f>HYPERLINK("https://freddywills.com/pick/7261/5-5-max-nfl-pod-51-26-last-77-max-rated-nfl-pod-s-since-2015-guaranteed-or-back.html", "Chiefs +5 5.5% NFL POD ")</f>
        <v xml:space="preserve">Chiefs +5 5.5% NFL POD </v>
      </c>
      <c r="E510" s="11">
        <v>5.5</v>
      </c>
      <c r="F510" s="11">
        <v>-1.1000000000000001</v>
      </c>
      <c r="G510" s="11" t="s">
        <v>6</v>
      </c>
      <c r="H510" s="13">
        <v>-5500</v>
      </c>
      <c r="I510" s="14">
        <f t="shared" si="16"/>
        <v>-6.8852600000000042E-2</v>
      </c>
      <c r="J510" s="13">
        <f t="shared" si="17"/>
        <v>321364.59999999998</v>
      </c>
    </row>
    <row r="511" spans="1:10" x14ac:dyDescent="0.25">
      <c r="A511" s="10">
        <v>43765.684027777781</v>
      </c>
      <c r="B511" s="11" t="s">
        <v>2</v>
      </c>
      <c r="C511" s="11" t="s">
        <v>5</v>
      </c>
      <c r="D511" s="16" t="str">
        <f>HYPERLINK("https://freddywills.com/pick/7258/1-1-free-nfl-play-sunday-browns-vs-patriots.html", "Browns +10.5 1.1% Free play ")</f>
        <v xml:space="preserve">Browns +10.5 1.1% Free play </v>
      </c>
      <c r="E511" s="11">
        <v>1.1000000000000001</v>
      </c>
      <c r="F511" s="11">
        <v>-1.1000000000000001</v>
      </c>
      <c r="G511" s="11" t="s">
        <v>6</v>
      </c>
      <c r="H511" s="13">
        <v>-1100</v>
      </c>
      <c r="I511" s="14">
        <f t="shared" si="16"/>
        <v>-1.3852600000000038E-2</v>
      </c>
      <c r="J511" s="13">
        <f t="shared" si="17"/>
        <v>326864.59999999998</v>
      </c>
    </row>
    <row r="512" spans="1:10" x14ac:dyDescent="0.25">
      <c r="A512" s="10">
        <v>43765.684027777781</v>
      </c>
      <c r="B512" s="11" t="s">
        <v>2</v>
      </c>
      <c r="C512" s="11" t="s">
        <v>5</v>
      </c>
      <c r="D512" s="16" t="str">
        <f>HYPERLINK("https://freddywills.com/pick/7262/raiders-vs-texans-guaranteed-or-back-4-25pm-et-start.html", "Raiders +6 3.3% play ")</f>
        <v xml:space="preserve">Raiders +6 3.3% play </v>
      </c>
      <c r="E512" s="11">
        <v>3.3</v>
      </c>
      <c r="F512" s="11">
        <v>-1.1000000000000001</v>
      </c>
      <c r="G512" s="11" t="s">
        <v>4</v>
      </c>
      <c r="H512" s="13">
        <v>3000</v>
      </c>
      <c r="I512" s="14">
        <f t="shared" si="16"/>
        <v>-2.8526000000000384E-3</v>
      </c>
      <c r="J512" s="13">
        <f t="shared" si="17"/>
        <v>327964.59999999998</v>
      </c>
    </row>
    <row r="513" spans="1:10" x14ac:dyDescent="0.25">
      <c r="A513" s="10">
        <v>43765.541666666664</v>
      </c>
      <c r="B513" s="11" t="s">
        <v>2</v>
      </c>
      <c r="C513" s="11" t="s">
        <v>5</v>
      </c>
      <c r="D513" s="16" t="str">
        <f>HYPERLINK("https://freddywills.com/pick/7259/nfl-early-bird-special-guaranteed-or-back-2-2-play-102-71-117-890-l-173-nfl.html", "Broncos +5 2.2% play ")</f>
        <v xml:space="preserve">Broncos +5 2.2% play </v>
      </c>
      <c r="E513" s="11">
        <v>2.2000000000000002</v>
      </c>
      <c r="F513" s="11">
        <v>-1.1000000000000001</v>
      </c>
      <c r="G513" s="11" t="s">
        <v>4</v>
      </c>
      <c r="H513" s="13">
        <v>2000</v>
      </c>
      <c r="I513" s="14">
        <f t="shared" si="16"/>
        <v>-3.2852600000000037E-2</v>
      </c>
      <c r="J513" s="13">
        <f t="shared" si="17"/>
        <v>324964.59999999998</v>
      </c>
    </row>
    <row r="514" spans="1:10" x14ac:dyDescent="0.25">
      <c r="A514" s="10">
        <v>43765.541666666664</v>
      </c>
      <c r="B514" s="11" t="s">
        <v>2</v>
      </c>
      <c r="C514" s="11" t="s">
        <v>18</v>
      </c>
      <c r="D514" s="16" t="str">
        <f>HYPERLINK("https://freddywills.com/pick/7260/bucs-vs-titans-guaranteed-or-back-102-71-last-173-nfl-picks.html", "Titans -135 3% play ")</f>
        <v xml:space="preserve">Titans -135 3% play </v>
      </c>
      <c r="E514" s="11">
        <v>3</v>
      </c>
      <c r="F514" s="11">
        <v>-1.35</v>
      </c>
      <c r="G514" s="11" t="s">
        <v>4</v>
      </c>
      <c r="H514" s="13">
        <v>2222</v>
      </c>
      <c r="I514" s="14">
        <f t="shared" si="16"/>
        <v>-5.2852600000000041E-2</v>
      </c>
      <c r="J514" s="13">
        <f t="shared" si="17"/>
        <v>322964.59999999998</v>
      </c>
    </row>
    <row r="515" spans="1:10" x14ac:dyDescent="0.25">
      <c r="A515" s="10">
        <v>43764.8125</v>
      </c>
      <c r="B515" s="11" t="s">
        <v>8</v>
      </c>
      <c r="C515" s="11" t="s">
        <v>7</v>
      </c>
      <c r="D515" s="16" t="str">
        <f>HYPERLINK("https://freddywills.com/pick/7255/college-football-total-of-the-week-michigan-vs-notredame-guaranteed-or-back.html", "Michigan/NotreDame Under 50 3.3% play ")</f>
        <v xml:space="preserve">Michigan/NotreDame Under 50 3.3% play </v>
      </c>
      <c r="E515" s="11">
        <v>3.3</v>
      </c>
      <c r="F515" s="11">
        <v>-1.1000000000000001</v>
      </c>
      <c r="G515" s="11" t="s">
        <v>6</v>
      </c>
      <c r="H515" s="13">
        <v>-3300</v>
      </c>
      <c r="I515" s="14">
        <f t="shared" si="16"/>
        <v>-7.5072600000000045E-2</v>
      </c>
      <c r="J515" s="13">
        <f t="shared" si="17"/>
        <v>320742.59999999998</v>
      </c>
    </row>
    <row r="516" spans="1:10" x14ac:dyDescent="0.25">
      <c r="A516" s="10">
        <v>43764.666666666664</v>
      </c>
      <c r="B516" s="11" t="s">
        <v>8</v>
      </c>
      <c r="C516" s="11" t="s">
        <v>5</v>
      </c>
      <c r="D516" s="16" t="str">
        <f>HYPERLINK("https://freddywills.com/pick/7254/sec-action-southcarolina-vs-tennessee-guaranteed-or-back.html", "Tennessee +4.5 2.2% play ")</f>
        <v xml:space="preserve">Tennessee +4.5 2.2% play </v>
      </c>
      <c r="E516" s="11">
        <v>2.2000000000000002</v>
      </c>
      <c r="F516" s="11">
        <v>-1.1000000000000001</v>
      </c>
      <c r="G516" s="11" t="s">
        <v>4</v>
      </c>
      <c r="H516" s="13">
        <v>2000</v>
      </c>
      <c r="I516" s="14">
        <f t="shared" si="16"/>
        <v>-4.2072600000000043E-2</v>
      </c>
      <c r="J516" s="13">
        <f t="shared" si="17"/>
        <v>324042.59999999998</v>
      </c>
    </row>
    <row r="517" spans="1:10" x14ac:dyDescent="0.25">
      <c r="A517" s="10">
        <v>43764.65625</v>
      </c>
      <c r="B517" s="11" t="s">
        <v>8</v>
      </c>
      <c r="C517" s="11" t="s">
        <v>18</v>
      </c>
      <c r="D517" s="16" t="str">
        <f>HYPERLINK("https://freddywills.com/pick/7250/money-line-dog-of-the-week-3-play-95-117-122-677-l-212-ncaaf-money-lines.html", "East Carolina +110 3% ML dog of the week")</f>
        <v>East Carolina +110 3% ML dog of the week</v>
      </c>
      <c r="E517" s="11">
        <v>3</v>
      </c>
      <c r="F517" s="11">
        <v>1.1000000000000001</v>
      </c>
      <c r="G517" s="11" t="s">
        <v>6</v>
      </c>
      <c r="H517" s="13">
        <v>-3000</v>
      </c>
      <c r="I517" s="14">
        <f t="shared" si="16"/>
        <v>-6.207260000000004E-2</v>
      </c>
      <c r="J517" s="13">
        <f t="shared" si="17"/>
        <v>322042.59999999998</v>
      </c>
    </row>
    <row r="518" spans="1:10" x14ac:dyDescent="0.25">
      <c r="A518" s="10">
        <v>43764.645833333336</v>
      </c>
      <c r="B518" s="11" t="s">
        <v>8</v>
      </c>
      <c r="C518" s="11" t="s">
        <v>5</v>
      </c>
      <c r="D518" s="16" t="str">
        <f>HYPERLINK("https://freddywills.com/pick/7247/5-5-max-rated-ncaaf-pod-65-43-l108-max-rated-plays-guaranteed-or-back.html", "Michigan State +5.5 ")</f>
        <v xml:space="preserve">Michigan State +5.5 </v>
      </c>
      <c r="E518" s="11">
        <v>5.5</v>
      </c>
      <c r="F518" s="11">
        <v>-1.1000000000000001</v>
      </c>
      <c r="G518" s="11" t="s">
        <v>6</v>
      </c>
      <c r="H518" s="13">
        <v>-5500</v>
      </c>
      <c r="I518" s="14">
        <f t="shared" si="16"/>
        <v>-3.2072600000000041E-2</v>
      </c>
      <c r="J518" s="13">
        <f t="shared" si="17"/>
        <v>325042.59999999998</v>
      </c>
    </row>
    <row r="519" spans="1:10" x14ac:dyDescent="0.25">
      <c r="A519" s="10">
        <v>43764.645833333336</v>
      </c>
      <c r="B519" s="11" t="s">
        <v>8</v>
      </c>
      <c r="C519" s="11" t="s">
        <v>5</v>
      </c>
      <c r="D519" s="16" t="str">
        <f>HYPERLINK("https://freddywills.com/pick/7252/texas-vs-tcu-3-3-premium-newsletter-play-guaranteed-or-back.html", "Texas -1 3.3% play ")</f>
        <v xml:space="preserve">Texas -1 3.3% play </v>
      </c>
      <c r="E519" s="11">
        <v>3.3</v>
      </c>
      <c r="F519" s="11">
        <v>-1.1000000000000001</v>
      </c>
      <c r="G519" s="11" t="s">
        <v>6</v>
      </c>
      <c r="H519" s="13">
        <v>-3300</v>
      </c>
      <c r="I519" s="14">
        <f t="shared" si="16"/>
        <v>2.2927399999999959E-2</v>
      </c>
      <c r="J519" s="13">
        <f t="shared" si="17"/>
        <v>330542.59999999998</v>
      </c>
    </row>
    <row r="520" spans="1:10" x14ac:dyDescent="0.25">
      <c r="A520" s="10">
        <v>43764.645833333336</v>
      </c>
      <c r="B520" s="11" t="s">
        <v>8</v>
      </c>
      <c r="C520" s="11" t="s">
        <v>5</v>
      </c>
      <c r="D520" s="16" t="str">
        <f>HYPERLINK("https://freddywills.com/pick/7253/lsu-vs-auburn-guaranteed-or-back-only-10-2-2-play.html", "Auburn +10.5 2.2% play ")</f>
        <v xml:space="preserve">Auburn +10.5 2.2% play </v>
      </c>
      <c r="E520" s="11">
        <v>2.2000000000000002</v>
      </c>
      <c r="F520" s="11">
        <v>-1.1000000000000001</v>
      </c>
      <c r="G520" s="11" t="s">
        <v>4</v>
      </c>
      <c r="H520" s="13">
        <v>2000</v>
      </c>
      <c r="I520" s="14">
        <f t="shared" si="16"/>
        <v>5.592739999999996E-2</v>
      </c>
      <c r="J520" s="13">
        <f t="shared" si="17"/>
        <v>333842.59999999998</v>
      </c>
    </row>
    <row r="521" spans="1:10" x14ac:dyDescent="0.25">
      <c r="A521" s="10">
        <v>43764.645833333336</v>
      </c>
      <c r="B521" s="11" t="s">
        <v>8</v>
      </c>
      <c r="C521" s="11" t="s">
        <v>18</v>
      </c>
      <c r="D521" s="16" t="str">
        <f>HYPERLINK("https://freddywills.com/pick/7257/michigan-st-bonus-play.html", "Michigan State +190 1% ")</f>
        <v xml:space="preserve">Michigan State +190 1% </v>
      </c>
      <c r="E521" s="11">
        <v>1</v>
      </c>
      <c r="F521" s="11">
        <v>1.9</v>
      </c>
      <c r="G521" s="11" t="s">
        <v>6</v>
      </c>
      <c r="H521" s="13">
        <v>-1000</v>
      </c>
      <c r="I521" s="14">
        <f t="shared" si="16"/>
        <v>3.5927399999999964E-2</v>
      </c>
      <c r="J521" s="13">
        <f t="shared" si="17"/>
        <v>331842.59999999998</v>
      </c>
    </row>
    <row r="522" spans="1:10" x14ac:dyDescent="0.25">
      <c r="A522" s="10">
        <v>43764.541666666664</v>
      </c>
      <c r="B522" s="11" t="s">
        <v>8</v>
      </c>
      <c r="C522" s="11" t="s">
        <v>5</v>
      </c>
      <c r="D522" s="16" t="str">
        <f>HYPERLINK("https://freddywills.com/pick/7249/c-usa-game-of-the-week-3-3-play-46-25-l-71-college-3-plays-that-s-64-7-winners-guaranteed-o.html", "Rice +9.5 3.3% play ")</f>
        <v xml:space="preserve">Rice +9.5 3.3% play </v>
      </c>
      <c r="E522" s="11">
        <v>3.3</v>
      </c>
      <c r="F522" s="11">
        <v>-1.1000000000000001</v>
      </c>
      <c r="G522" s="11" t="s">
        <v>6</v>
      </c>
      <c r="H522" s="13">
        <v>-3300</v>
      </c>
      <c r="I522" s="14">
        <f t="shared" si="16"/>
        <v>4.5927399999999965E-2</v>
      </c>
      <c r="J522" s="13">
        <f t="shared" si="17"/>
        <v>332842.59999999998</v>
      </c>
    </row>
    <row r="523" spans="1:10" x14ac:dyDescent="0.25">
      <c r="A523" s="10">
        <v>43764.5</v>
      </c>
      <c r="B523" s="11" t="s">
        <v>8</v>
      </c>
      <c r="C523" s="11" t="s">
        <v>5</v>
      </c>
      <c r="D523" s="16" t="str">
        <f>HYPERLINK("https://freddywills.com/pick/7245/big-ten-west-showdown-3-3-play-46-25-57-766-l-71-ncaaf-3-bankroll-guaranteed-or-back.html", "Northwestern +10 3.3% play")</f>
        <v>Northwestern +10 3.3% play</v>
      </c>
      <c r="E523" s="11">
        <v>3.3</v>
      </c>
      <c r="F523" s="11">
        <v>-1.1000000000000001</v>
      </c>
      <c r="G523" s="11" t="s">
        <v>6</v>
      </c>
      <c r="H523" s="13">
        <v>-3300</v>
      </c>
      <c r="I523" s="14">
        <f t="shared" si="16"/>
        <v>7.8927399999999967E-2</v>
      </c>
      <c r="J523" s="13">
        <f t="shared" si="17"/>
        <v>336142.6</v>
      </c>
    </row>
    <row r="524" spans="1:10" x14ac:dyDescent="0.25">
      <c r="A524" s="10">
        <v>43764.5</v>
      </c>
      <c r="B524" s="11" t="s">
        <v>8</v>
      </c>
      <c r="C524" s="11" t="s">
        <v>10</v>
      </c>
      <c r="D524" s="16" t="str">
        <f>HYPERLINK("https://freddywills.com/pick/7246/4-4-teaser-of-the-week-big10-and-acc-action-92-66-l58-teasers-68-since-2011-134-38-on-4-b.html", "Pittsburgh +0.5 / Michigan +7 4.4% Teaser of the week")</f>
        <v>Pittsburgh +0.5 / Michigan +7 4.4% Teaser of the week</v>
      </c>
      <c r="E524" s="11">
        <v>4.4000000000000004</v>
      </c>
      <c r="F524" s="11">
        <v>-1.1000000000000001</v>
      </c>
      <c r="G524" s="11" t="s">
        <v>6</v>
      </c>
      <c r="H524" s="13">
        <v>-4400</v>
      </c>
      <c r="I524" s="14">
        <f t="shared" si="16"/>
        <v>0.11192739999999997</v>
      </c>
      <c r="J524" s="13">
        <f t="shared" si="17"/>
        <v>339442.6</v>
      </c>
    </row>
    <row r="525" spans="1:10" x14ac:dyDescent="0.25">
      <c r="A525" s="10">
        <v>43764.5</v>
      </c>
      <c r="B525" s="11" t="s">
        <v>8</v>
      </c>
      <c r="C525" s="11" t="s">
        <v>5</v>
      </c>
      <c r="D525" s="16" t="str">
        <f>HYPERLINK("https://freddywills.com/pick/7248/early-bird-special-just-10-guaranteed-or-back-81-65-l146-sports-picks.html", "Army -10 2.2% play ")</f>
        <v xml:space="preserve">Army -10 2.2% play </v>
      </c>
      <c r="E525" s="11">
        <v>2.2000000000000002</v>
      </c>
      <c r="F525" s="11">
        <v>-1.1000000000000001</v>
      </c>
      <c r="G525" s="11" t="s">
        <v>6</v>
      </c>
      <c r="H525" s="13">
        <v>-2200</v>
      </c>
      <c r="I525" s="14">
        <f t="shared" si="16"/>
        <v>0.15592739999999997</v>
      </c>
      <c r="J525" s="13">
        <f t="shared" si="17"/>
        <v>343842.6</v>
      </c>
    </row>
    <row r="526" spans="1:10" x14ac:dyDescent="0.25">
      <c r="A526" s="10">
        <v>43764.5</v>
      </c>
      <c r="B526" s="11" t="s">
        <v>8</v>
      </c>
      <c r="C526" s="11" t="s">
        <v>18</v>
      </c>
      <c r="D526" s="16" t="str">
        <f>HYPERLINK("https://freddywills.com/pick/7256/northwestern-ml-play.html", "Northwestern +348 1% play")</f>
        <v>Northwestern +348 1% play</v>
      </c>
      <c r="E526" s="11">
        <v>1</v>
      </c>
      <c r="F526" s="11">
        <v>3.48</v>
      </c>
      <c r="G526" s="11" t="s">
        <v>6</v>
      </c>
      <c r="H526" s="13">
        <v>-1000</v>
      </c>
      <c r="I526" s="14">
        <f t="shared" si="16"/>
        <v>0.17792739999999996</v>
      </c>
      <c r="J526" s="13">
        <f t="shared" si="17"/>
        <v>346042.6</v>
      </c>
    </row>
    <row r="527" spans="1:10" x14ac:dyDescent="0.25">
      <c r="A527" s="10">
        <v>43763.079861111109</v>
      </c>
      <c r="B527" s="11" t="s">
        <v>8</v>
      </c>
      <c r="C527" s="11" t="s">
        <v>5</v>
      </c>
      <c r="D527" s="16" t="str">
        <f>HYPERLINK("https://freddywills.com/pick/7251/week-9-free-pick-62-38-28-084-l-100-all-sports-free-picks.html", "Florida International -2 1.1% Free Play ")</f>
        <v xml:space="preserve">Florida International -2 1.1% Free Play </v>
      </c>
      <c r="E527" s="11">
        <v>1.1000000000000001</v>
      </c>
      <c r="F527" s="11">
        <v>-1.1000000000000001</v>
      </c>
      <c r="G527" s="11" t="s">
        <v>6</v>
      </c>
      <c r="H527" s="13">
        <v>-1100</v>
      </c>
      <c r="I527" s="14">
        <f t="shared" si="16"/>
        <v>0.18792739999999997</v>
      </c>
      <c r="J527" s="13">
        <f t="shared" si="17"/>
        <v>347042.6</v>
      </c>
    </row>
    <row r="528" spans="1:10" x14ac:dyDescent="0.25">
      <c r="A528" s="10">
        <v>43762.8125</v>
      </c>
      <c r="B528" s="11" t="s">
        <v>8</v>
      </c>
      <c r="C528" s="11" t="s">
        <v>5</v>
      </c>
      <c r="D528" s="16" t="str">
        <f>HYPERLINK("https://freddywills.com/pick/7244/thursday-night-college-football-smu-vs-houston-guarnateed-or-back-46-25-57-766-l-71-ncaaf-3.html", "Houston +14 3.3% play ")</f>
        <v xml:space="preserve">Houston +14 3.3% play </v>
      </c>
      <c r="E528" s="11">
        <v>3.3</v>
      </c>
      <c r="F528" s="11">
        <v>-1.1000000000000001</v>
      </c>
      <c r="G528" s="11" t="s">
        <v>4</v>
      </c>
      <c r="H528" s="13">
        <v>3000</v>
      </c>
      <c r="I528" s="14">
        <f t="shared" si="16"/>
        <v>0.19892739999999998</v>
      </c>
      <c r="J528" s="13">
        <f t="shared" si="17"/>
        <v>348142.6</v>
      </c>
    </row>
    <row r="529" spans="1:10" x14ac:dyDescent="0.25">
      <c r="A529" s="10">
        <v>43758.847222222219</v>
      </c>
      <c r="B529" s="11" t="s">
        <v>2</v>
      </c>
      <c r="C529" s="11" t="s">
        <v>18</v>
      </c>
      <c r="D529" s="16" t="str">
        <f>HYPERLINK("https://freddywills.com/pick/7240/cowboys-vs-eagles-4-5-play-guaranteed-or-back-87-61-96-675-l-148-nfl.html", "Cowboys -145 4.5% PLAY ")</f>
        <v xml:space="preserve">Cowboys -145 4.5% PLAY </v>
      </c>
      <c r="E529" s="11">
        <v>4.5</v>
      </c>
      <c r="F529" s="11">
        <v>-1.45</v>
      </c>
      <c r="G529" s="11" t="s">
        <v>4</v>
      </c>
      <c r="H529" s="13">
        <v>3103.45</v>
      </c>
      <c r="I529" s="14">
        <f t="shared" ref="I529:I592" si="18">(H529/100000)+I530</f>
        <v>0.16892739999999998</v>
      </c>
      <c r="J529" s="13">
        <f t="shared" ref="J529:J592" si="19">H529+J530</f>
        <v>345142.6</v>
      </c>
    </row>
    <row r="530" spans="1:10" x14ac:dyDescent="0.25">
      <c r="A530" s="10">
        <v>43758.541666666664</v>
      </c>
      <c r="B530" s="11" t="s">
        <v>2</v>
      </c>
      <c r="C530" s="11" t="s">
        <v>5</v>
      </c>
      <c r="D530" s="16" t="str">
        <f>HYPERLINK("https://freddywills.com/pick/7241/5-5-nfl-pod-50-26-126-030-l-76-max-rated-nfl-picks-guaranteed-or-back.html", "Colts -1 5.5% NFL POD")</f>
        <v>Colts -1 5.5% NFL POD</v>
      </c>
      <c r="E530" s="11">
        <v>5.5</v>
      </c>
      <c r="F530" s="11">
        <v>-1.1000000000000001</v>
      </c>
      <c r="G530" s="11" t="s">
        <v>4</v>
      </c>
      <c r="H530" s="13">
        <v>5000</v>
      </c>
      <c r="I530" s="14">
        <f t="shared" si="18"/>
        <v>0.13789289999999998</v>
      </c>
      <c r="J530" s="13">
        <f t="shared" si="19"/>
        <v>342039.14999999997</v>
      </c>
    </row>
    <row r="531" spans="1:10" x14ac:dyDescent="0.25">
      <c r="A531" s="10">
        <v>43758.541666666664</v>
      </c>
      <c r="B531" s="11" t="s">
        <v>2</v>
      </c>
      <c r="C531" s="11" t="s">
        <v>5</v>
      </c>
      <c r="D531" s="16" t="str">
        <f>HYPERLINK("https://freddywills.com/pick/7242/21-14-ats-run-on-2-plays-raiders-vs-packers-guaranteed-or-back.html", "Raiders +5 2.2% play ")</f>
        <v xml:space="preserve">Raiders +5 2.2% play </v>
      </c>
      <c r="E531" s="11">
        <v>2.2000000000000002</v>
      </c>
      <c r="F531" s="11">
        <v>-1.1000000000000001</v>
      </c>
      <c r="G531" s="11" t="s">
        <v>6</v>
      </c>
      <c r="H531" s="13">
        <v>-2200</v>
      </c>
      <c r="I531" s="14">
        <f t="shared" si="18"/>
        <v>8.7892899999999996E-2</v>
      </c>
      <c r="J531" s="13">
        <f t="shared" si="19"/>
        <v>337039.14999999997</v>
      </c>
    </row>
    <row r="532" spans="1:10" x14ac:dyDescent="0.25">
      <c r="A532" s="10">
        <v>43758.541666666664</v>
      </c>
      <c r="B532" s="11" t="s">
        <v>2</v>
      </c>
      <c r="C532" s="11" t="s">
        <v>5</v>
      </c>
      <c r="D532" s="16" t="str">
        <f>HYPERLINK("https://freddywills.com/pick/7243/nfl-teaser-of-the-week-92-66-68-021-l-158-all-sports-teasers-guaranteed-or-back.html", "Lions +8.5 / Ravens +9 3.3% NFL Teaser")</f>
        <v>Lions +8.5 / Ravens +9 3.3% NFL Teaser</v>
      </c>
      <c r="E532" s="11">
        <v>3.3</v>
      </c>
      <c r="F532" s="11">
        <v>-1.1000000000000001</v>
      </c>
      <c r="G532" s="11" t="s">
        <v>6</v>
      </c>
      <c r="H532" s="13">
        <v>-3300</v>
      </c>
      <c r="I532" s="14">
        <f t="shared" si="18"/>
        <v>0.10989289999999999</v>
      </c>
      <c r="J532" s="13">
        <f t="shared" si="19"/>
        <v>339239.14999999997</v>
      </c>
    </row>
    <row r="533" spans="1:10" x14ac:dyDescent="0.25">
      <c r="A533" s="10">
        <v>43757.996527777781</v>
      </c>
      <c r="B533" s="11" t="s">
        <v>8</v>
      </c>
      <c r="C533" s="11" t="s">
        <v>5</v>
      </c>
      <c r="D533" s="16" t="str">
        <f>HYPERLINK("https://freddywills.com/pick/7239/super-late-night-fix-airforce-vs-hawaii-guaranteed-or-back.html", "Air Force -3 -115 3.3% play ")</f>
        <v xml:space="preserve">Air Force -3 -115 3.3% play </v>
      </c>
      <c r="E533" s="11">
        <v>3</v>
      </c>
      <c r="F533" s="11">
        <v>-1.1499999999999999</v>
      </c>
      <c r="G533" s="11" t="s">
        <v>4</v>
      </c>
      <c r="H533" s="13">
        <v>2608.6999999999998</v>
      </c>
      <c r="I533" s="14">
        <f t="shared" si="18"/>
        <v>0.14289289999999999</v>
      </c>
      <c r="J533" s="13">
        <f t="shared" si="19"/>
        <v>342539.14999999997</v>
      </c>
    </row>
    <row r="534" spans="1:10" x14ac:dyDescent="0.25">
      <c r="A534" s="10">
        <v>43757.8125</v>
      </c>
      <c r="B534" s="11" t="s">
        <v>8</v>
      </c>
      <c r="C534" s="11" t="s">
        <v>5</v>
      </c>
      <c r="D534" s="16" t="str">
        <f>HYPERLINK("https://freddywills.com/pick/7233/4-4-ncaaf-play-of-the-day-192-142-138-784-l-334-ncaaf-4-plays-since-2011-guaranteed-or-b.html", "Florida State +1.5 4.4% PLAY")</f>
        <v>Florida State +1.5 4.4% PLAY</v>
      </c>
      <c r="E534" s="11">
        <v>4.4000000000000004</v>
      </c>
      <c r="F534" s="11">
        <v>-1.1000000000000001</v>
      </c>
      <c r="G534" s="11" t="s">
        <v>6</v>
      </c>
      <c r="H534" s="13">
        <v>-4400</v>
      </c>
      <c r="I534" s="14">
        <f t="shared" si="18"/>
        <v>0.11680589999999998</v>
      </c>
      <c r="J534" s="13">
        <f t="shared" si="19"/>
        <v>339930.44999999995</v>
      </c>
    </row>
    <row r="535" spans="1:10" x14ac:dyDescent="0.25">
      <c r="A535" s="10">
        <v>43757.645833333336</v>
      </c>
      <c r="B535" s="11" t="s">
        <v>8</v>
      </c>
      <c r="C535" s="11" t="s">
        <v>5</v>
      </c>
      <c r="D535" s="16" t="str">
        <f>HYPERLINK("https://freddywills.com/pick/7238/pac12-game-of-the-week-washington-vs-oregon-guaranteed-or-back.html", "Washington +3 3.3% play ")</f>
        <v xml:space="preserve">Washington +3 3.3% play </v>
      </c>
      <c r="E535" s="11">
        <v>3.3</v>
      </c>
      <c r="F535" s="11">
        <v>-1.1000000000000001</v>
      </c>
      <c r="G535" s="11" t="s">
        <v>6</v>
      </c>
      <c r="H535" s="13">
        <v>-3300</v>
      </c>
      <c r="I535" s="14">
        <f t="shared" si="18"/>
        <v>0.16080589999999997</v>
      </c>
      <c r="J535" s="13">
        <f t="shared" si="19"/>
        <v>344330.44999999995</v>
      </c>
    </row>
    <row r="536" spans="1:10" x14ac:dyDescent="0.25">
      <c r="A536" s="10">
        <v>43757.625</v>
      </c>
      <c r="B536" s="11" t="s">
        <v>8</v>
      </c>
      <c r="C536" s="11" t="s">
        <v>5</v>
      </c>
      <c r="D536" s="16" t="str">
        <f>HYPERLINK("https://freddywills.com/pick/7237/mountainwest-unmlobos-vs-wyo-football-guaranteed-or-back.html", "New Mexico +19 2.2% play ")</f>
        <v xml:space="preserve">New Mexico +19 2.2% play </v>
      </c>
      <c r="E536" s="11">
        <v>2.2000000000000002</v>
      </c>
      <c r="F536" s="11">
        <v>-1.1000000000000001</v>
      </c>
      <c r="G536" s="11" t="s">
        <v>4</v>
      </c>
      <c r="H536" s="13">
        <v>2000</v>
      </c>
      <c r="I536" s="14">
        <f t="shared" si="18"/>
        <v>0.19380589999999998</v>
      </c>
      <c r="J536" s="13">
        <f t="shared" si="19"/>
        <v>347630.44999999995</v>
      </c>
    </row>
    <row r="537" spans="1:10" x14ac:dyDescent="0.25">
      <c r="A537" s="10">
        <v>43757.5</v>
      </c>
      <c r="B537" s="11" t="s">
        <v>8</v>
      </c>
      <c r="C537" s="11" t="s">
        <v>5</v>
      </c>
      <c r="D537" s="16" t="str">
        <f>HYPERLINK("https://freddywills.com/pick/7234/saturday-s-free-pick-wisconsin-vs-illinois-61-40-18-073-l-101-ncaaf-free-picks.html", "Wisconsin -31 1.1% Free Play ")</f>
        <v xml:space="preserve">Wisconsin -31 1.1% Free Play </v>
      </c>
      <c r="E537" s="11">
        <v>1.1000000000000001</v>
      </c>
      <c r="F537" s="11">
        <v>-1.1000000000000001</v>
      </c>
      <c r="G537" s="11" t="s">
        <v>6</v>
      </c>
      <c r="H537" s="13">
        <v>-1100</v>
      </c>
      <c r="I537" s="14">
        <f t="shared" si="18"/>
        <v>0.17380589999999999</v>
      </c>
      <c r="J537" s="13">
        <f t="shared" si="19"/>
        <v>345630.44999999995</v>
      </c>
    </row>
    <row r="538" spans="1:10" x14ac:dyDescent="0.25">
      <c r="A538" s="10">
        <v>43756.8125</v>
      </c>
      <c r="B538" s="11" t="s">
        <v>8</v>
      </c>
      <c r="C538" s="11" t="s">
        <v>5</v>
      </c>
      <c r="D538" s="16" t="str">
        <f>HYPERLINK("https://freddywills.com/pick/7235/friday-night-lights-3-play-guaranteed-or-back-42-23-ats-run-l65-3-ncaaf-picks.html", "Marshall +5.5 3.3% play ")</f>
        <v xml:space="preserve">Marshall +5.5 3.3% play </v>
      </c>
      <c r="E538" s="11">
        <v>3.3</v>
      </c>
      <c r="F538" s="11">
        <v>-1.1000000000000001</v>
      </c>
      <c r="G538" s="11" t="s">
        <v>4</v>
      </c>
      <c r="H538" s="13">
        <v>3000</v>
      </c>
      <c r="I538" s="14">
        <f t="shared" si="18"/>
        <v>0.1848059</v>
      </c>
      <c r="J538" s="13">
        <f t="shared" si="19"/>
        <v>346730.44999999995</v>
      </c>
    </row>
    <row r="539" spans="1:10" x14ac:dyDescent="0.25">
      <c r="A539" s="10">
        <v>43756.8125</v>
      </c>
      <c r="B539" s="11" t="s">
        <v>8</v>
      </c>
      <c r="C539" s="11" t="s">
        <v>5</v>
      </c>
      <c r="D539" s="16" t="str">
        <f>HYPERLINK("https://freddywills.com/pick/7236/week-8-premium-newsletter-play-4-2-1-ats-this-year-25-14-2-ats-career.html", "Syracuse +4 2.2% play ")</f>
        <v xml:space="preserve">Syracuse +4 2.2% play </v>
      </c>
      <c r="E539" s="11">
        <v>2.2000000000000002</v>
      </c>
      <c r="F539" s="11">
        <v>-1.1000000000000001</v>
      </c>
      <c r="G539" s="11" t="s">
        <v>6</v>
      </c>
      <c r="H539" s="13">
        <v>-2200</v>
      </c>
      <c r="I539" s="14">
        <f t="shared" si="18"/>
        <v>0.1548059</v>
      </c>
      <c r="J539" s="13">
        <f t="shared" si="19"/>
        <v>343730.44999999995</v>
      </c>
    </row>
    <row r="540" spans="1:10" x14ac:dyDescent="0.25">
      <c r="A540" s="10">
        <v>43755.847222222219</v>
      </c>
      <c r="B540" s="11" t="s">
        <v>8</v>
      </c>
      <c r="C540" s="11" t="s">
        <v>5</v>
      </c>
      <c r="D540" s="16" t="str">
        <f>HYPERLINK("https://freddywills.com/pick/7230/thursday-night-nfl-action-chiefs-vs-broncos-43-25-l68-nfl-picks-66-39-roi-guaranteed-or-b.html", "Broncos +3 2.2% play ")</f>
        <v xml:space="preserve">Broncos +3 2.2% play </v>
      </c>
      <c r="E540" s="11">
        <v>2.2000000000000002</v>
      </c>
      <c r="F540" s="11">
        <v>-1.1000000000000001</v>
      </c>
      <c r="G540" s="11" t="s">
        <v>6</v>
      </c>
      <c r="H540" s="13">
        <v>-2200</v>
      </c>
      <c r="I540" s="14">
        <f t="shared" si="18"/>
        <v>0.17680589999999999</v>
      </c>
      <c r="J540" s="13">
        <f t="shared" si="19"/>
        <v>345930.44999999995</v>
      </c>
    </row>
    <row r="541" spans="1:10" x14ac:dyDescent="0.25">
      <c r="A541" s="10">
        <v>43755.8125</v>
      </c>
      <c r="B541" s="11" t="s">
        <v>8</v>
      </c>
      <c r="C541" s="11" t="s">
        <v>5</v>
      </c>
      <c r="D541" s="16" t="str">
        <f>HYPERLINK("https://freddywills.com/pick/7231/3-3-ncaaf-thursday-night-arkstate-vs-ullafayette-42-22-ats-run-on-3-ncaaf-picks.html", "Arkansas State +6 3.3% play")</f>
        <v>Arkansas State +6 3.3% play</v>
      </c>
      <c r="E541" s="11">
        <v>3.3</v>
      </c>
      <c r="F541" s="11">
        <v>-1.1000000000000001</v>
      </c>
      <c r="G541" s="11" t="s">
        <v>6</v>
      </c>
      <c r="H541" s="13">
        <v>-3300</v>
      </c>
      <c r="I541" s="14">
        <f t="shared" si="18"/>
        <v>0.19880589999999998</v>
      </c>
      <c r="J541" s="13">
        <f t="shared" si="19"/>
        <v>348130.44999999995</v>
      </c>
    </row>
    <row r="542" spans="1:10" x14ac:dyDescent="0.25">
      <c r="A542" s="10">
        <v>43755.693749999999</v>
      </c>
      <c r="B542" s="11" t="s">
        <v>8</v>
      </c>
      <c r="C542" s="11" t="s">
        <v>18</v>
      </c>
      <c r="D542" s="16" t="str">
        <f>HYPERLINK("https://freddywills.com/pick/7232/free-pick-thursday-stanford-vs-ucla.html", "Stanford -165 3% Free Play ")</f>
        <v xml:space="preserve">Stanford -165 3% Free Play </v>
      </c>
      <c r="E542" s="11">
        <v>3</v>
      </c>
      <c r="F542" s="11">
        <v>-1.65</v>
      </c>
      <c r="G542" s="11" t="s">
        <v>6</v>
      </c>
      <c r="H542" s="13">
        <v>-3000</v>
      </c>
      <c r="I542" s="14">
        <f t="shared" si="18"/>
        <v>0.23180589999999998</v>
      </c>
      <c r="J542" s="13">
        <f t="shared" si="19"/>
        <v>351430.44999999995</v>
      </c>
    </row>
    <row r="543" spans="1:10" x14ac:dyDescent="0.25">
      <c r="A543" s="10">
        <v>43751.684027777781</v>
      </c>
      <c r="B543" s="11" t="s">
        <v>2</v>
      </c>
      <c r="C543" s="11" t="s">
        <v>10</v>
      </c>
      <c r="D543" s="16" t="str">
        <f>HYPERLINK("https://freddywills.com/pick/7225/nfl-teaser-of-the-week-92-65-72-421-l-157-all-sports-teasers.html", "Cowboys -1 / Titans +7.5 4.4% NFL Teaser of the week")</f>
        <v>Cowboys -1 / Titans +7.5 4.4% NFL Teaser of the week</v>
      </c>
      <c r="E543" s="11">
        <v>4.4000000000000004</v>
      </c>
      <c r="F543" s="11">
        <v>-1.1000000000000001</v>
      </c>
      <c r="G543" s="11" t="s">
        <v>6</v>
      </c>
      <c r="H543" s="13">
        <v>-4400</v>
      </c>
      <c r="I543" s="14">
        <f t="shared" si="18"/>
        <v>0.26180589999999998</v>
      </c>
      <c r="J543" s="13">
        <f t="shared" si="19"/>
        <v>354430.44999999995</v>
      </c>
    </row>
    <row r="544" spans="1:10" x14ac:dyDescent="0.25">
      <c r="A544" s="10">
        <v>43751.684027777781</v>
      </c>
      <c r="B544" s="11" t="s">
        <v>2</v>
      </c>
      <c r="C544" s="11" t="s">
        <v>5</v>
      </c>
      <c r="D544" s="16" t="str">
        <f>HYPERLINK("https://freddywills.com/pick/7228/5-5-nfl-pod-guaranteed-or-back-49-26-65-33-121-447-l-75-max-rated-nfl-picks.html", "Cardinals +3 @ -120 5.5% NFL POD")</f>
        <v>Cardinals +3 @ -120 5.5% NFL POD</v>
      </c>
      <c r="E544" s="11">
        <v>5.5</v>
      </c>
      <c r="F544" s="11">
        <v>-1.2</v>
      </c>
      <c r="G544" s="11" t="s">
        <v>4</v>
      </c>
      <c r="H544" s="13">
        <v>4583</v>
      </c>
      <c r="I544" s="14">
        <f t="shared" si="18"/>
        <v>0.30580589999999996</v>
      </c>
      <c r="J544" s="13">
        <f t="shared" si="19"/>
        <v>358830.44999999995</v>
      </c>
    </row>
    <row r="545" spans="1:10" x14ac:dyDescent="0.25">
      <c r="A545" s="10">
        <v>43751.541666666664</v>
      </c>
      <c r="B545" s="11" t="s">
        <v>2</v>
      </c>
      <c r="C545" s="11" t="s">
        <v>5</v>
      </c>
      <c r="D545" s="16" t="str">
        <f>HYPERLINK("https://freddywills.com/pick/7226/nfl-early-bird-special-texans-vs-chiefs-guaranteed-or-back.html", "Texans +4 3.3% play ")</f>
        <v xml:space="preserve">Texans +4 3.3% play </v>
      </c>
      <c r="E545" s="11">
        <v>3.3</v>
      </c>
      <c r="F545" s="11">
        <v>-1.1000000000000001</v>
      </c>
      <c r="G545" s="11" t="s">
        <v>4</v>
      </c>
      <c r="H545" s="13">
        <v>3000</v>
      </c>
      <c r="I545" s="14">
        <f t="shared" si="18"/>
        <v>0.25997589999999998</v>
      </c>
      <c r="J545" s="13">
        <f t="shared" si="19"/>
        <v>354247.44999999995</v>
      </c>
    </row>
    <row r="546" spans="1:10" x14ac:dyDescent="0.25">
      <c r="A546" s="10">
        <v>43751.541666666664</v>
      </c>
      <c r="B546" s="11" t="s">
        <v>2</v>
      </c>
      <c r="C546" s="11" t="s">
        <v>7</v>
      </c>
      <c r="D546" s="16" t="str">
        <f>HYPERLINK("https://freddywills.com/pick/7227/nfl-free-pick-total-play-eagles-vs-vikings-62-39-28-884-l-101-all-sports.html", "Vikings/Eagles Over 44.5 1.1% Free Play ")</f>
        <v xml:space="preserve">Vikings/Eagles Over 44.5 1.1% Free Play </v>
      </c>
      <c r="E546" s="11">
        <v>1.1000000000000001</v>
      </c>
      <c r="F546" s="11">
        <v>-1.1000000000000001</v>
      </c>
      <c r="G546" s="11" t="s">
        <v>4</v>
      </c>
      <c r="H546" s="13">
        <v>1000</v>
      </c>
      <c r="I546" s="14">
        <f t="shared" si="18"/>
        <v>0.22997589999999998</v>
      </c>
      <c r="J546" s="13">
        <f t="shared" si="19"/>
        <v>351247.44999999995</v>
      </c>
    </row>
    <row r="547" spans="1:10" x14ac:dyDescent="0.25">
      <c r="A547" s="10">
        <v>43751.541666666664</v>
      </c>
      <c r="B547" s="11" t="s">
        <v>2</v>
      </c>
      <c r="C547" s="11" t="s">
        <v>5</v>
      </c>
      <c r="D547" s="16" t="str">
        <f>HYPERLINK("https://freddywills.com/pick/7229/bengals-vs-ravens-guaranteed-or-back-19-12-14-050-l-31-all-sports-2-bankroll.html", "Bengals +10.5 2.2% play ")</f>
        <v xml:space="preserve">Bengals +10.5 2.2% play </v>
      </c>
      <c r="E547" s="11">
        <v>2.2000000000000002</v>
      </c>
      <c r="F547" s="11">
        <v>-1.1000000000000001</v>
      </c>
      <c r="G547" s="11" t="s">
        <v>4</v>
      </c>
      <c r="H547" s="13">
        <v>2000</v>
      </c>
      <c r="I547" s="14">
        <f t="shared" si="18"/>
        <v>0.21997589999999997</v>
      </c>
      <c r="J547" s="13">
        <f t="shared" si="19"/>
        <v>350247.44999999995</v>
      </c>
    </row>
    <row r="548" spans="1:10" x14ac:dyDescent="0.25">
      <c r="A548" s="10">
        <v>43750.833333333336</v>
      </c>
      <c r="B548" s="11" t="s">
        <v>8</v>
      </c>
      <c r="C548" s="11" t="s">
        <v>5</v>
      </c>
      <c r="D548" s="16" t="str">
        <f>HYPERLINK("https://freddywills.com/pick/7216/pac12-game-of-the-week-79-59-l138-ncaaf-picks-62-15.html", "Utah -14 2.2% play ")</f>
        <v xml:space="preserve">Utah -14 2.2% play </v>
      </c>
      <c r="E548" s="11">
        <v>2.2000000000000002</v>
      </c>
      <c r="F548" s="11">
        <v>-1.1000000000000001</v>
      </c>
      <c r="G548" s="11" t="s">
        <v>4</v>
      </c>
      <c r="H548" s="13">
        <v>2000</v>
      </c>
      <c r="I548" s="14">
        <f t="shared" si="18"/>
        <v>0.19997589999999998</v>
      </c>
      <c r="J548" s="13">
        <f t="shared" si="19"/>
        <v>348247.44999999995</v>
      </c>
    </row>
    <row r="549" spans="1:10" x14ac:dyDescent="0.25">
      <c r="A549" s="10">
        <v>43750.833333333336</v>
      </c>
      <c r="B549" s="11" t="s">
        <v>8</v>
      </c>
      <c r="C549" s="11" t="s">
        <v>5</v>
      </c>
      <c r="D549" s="16" t="str">
        <f>HYPERLINK("https://freddywills.com/pick/7217/sec-game-of-the-week-florida-vs-lsu-guaranteed-or-back-41-21-ats-l62-3-ncaaf-plays.html", "Florida +13 3.3% play ")</f>
        <v xml:space="preserve">Florida +13 3.3% play </v>
      </c>
      <c r="E549" s="11">
        <v>3.3</v>
      </c>
      <c r="F549" s="11">
        <v>-1.1000000000000001</v>
      </c>
      <c r="G549" s="11" t="s">
        <v>6</v>
      </c>
      <c r="H549" s="13">
        <v>-3300</v>
      </c>
      <c r="I549" s="14">
        <f t="shared" si="18"/>
        <v>0.17997589999999999</v>
      </c>
      <c r="J549" s="13">
        <f t="shared" si="19"/>
        <v>346247.44999999995</v>
      </c>
    </row>
    <row r="550" spans="1:10" x14ac:dyDescent="0.25">
      <c r="A550" s="10">
        <v>43750.833333333336</v>
      </c>
      <c r="B550" s="11" t="s">
        <v>8</v>
      </c>
      <c r="C550" s="11" t="s">
        <v>18</v>
      </c>
      <c r="D550" s="16" t="str">
        <f>HYPERLINK("https://freddywills.com/pick/7218/florida-vs-lsu-bonus-play-for-record-tracking.html", "Florida +420 1% Play")</f>
        <v>Florida +420 1% Play</v>
      </c>
      <c r="E550" s="11">
        <v>1</v>
      </c>
      <c r="F550" s="11">
        <v>4.2</v>
      </c>
      <c r="G550" s="11" t="s">
        <v>6</v>
      </c>
      <c r="H550" s="13">
        <v>-1000</v>
      </c>
      <c r="I550" s="14">
        <f t="shared" si="18"/>
        <v>0.2129759</v>
      </c>
      <c r="J550" s="13">
        <f t="shared" si="19"/>
        <v>349547.44999999995</v>
      </c>
    </row>
    <row r="551" spans="1:10" x14ac:dyDescent="0.25">
      <c r="A551" s="10">
        <v>43750.8125</v>
      </c>
      <c r="B551" s="11" t="s">
        <v>8</v>
      </c>
      <c r="C551" s="11" t="s">
        <v>5</v>
      </c>
      <c r="D551" s="16" t="str">
        <f>HYPERLINK("https://freddywills.com/pick/7215/5-5-max-ncaaf-pod-guaranteed-or-back-63-42-l105-max-rated-pod-s-166-roi.html", "Iowa +3.5 5.5% NCAAF POD ")</f>
        <v xml:space="preserve">Iowa +3.5 5.5% NCAAF POD </v>
      </c>
      <c r="E551" s="11">
        <v>5.5</v>
      </c>
      <c r="F551" s="11">
        <v>-1.1000000000000001</v>
      </c>
      <c r="G551" s="11" t="s">
        <v>6</v>
      </c>
      <c r="H551" s="13">
        <v>-5500</v>
      </c>
      <c r="I551" s="14">
        <f t="shared" si="18"/>
        <v>0.2229759</v>
      </c>
      <c r="J551" s="13">
        <f t="shared" si="19"/>
        <v>350547.44999999995</v>
      </c>
    </row>
    <row r="552" spans="1:10" x14ac:dyDescent="0.25">
      <c r="A552" s="10">
        <v>43750.8125</v>
      </c>
      <c r="B552" s="11" t="s">
        <v>8</v>
      </c>
      <c r="C552" s="11" t="s">
        <v>5</v>
      </c>
      <c r="D552" s="16" t="str">
        <f>HYPERLINK("https://freddywills.com/pick/7224/acc-game-of-the-week-guaranteed-or-back-191-142-134-784-l-333-ncaaf-4-bankroll.html", "Louisville +7 4.4% play ")</f>
        <v xml:space="preserve">Louisville +7 4.4% play </v>
      </c>
      <c r="E552" s="11">
        <v>4.4000000000000004</v>
      </c>
      <c r="F552" s="11">
        <v>-1.1000000000000001</v>
      </c>
      <c r="G552" s="11" t="s">
        <v>4</v>
      </c>
      <c r="H552" s="13">
        <v>4000</v>
      </c>
      <c r="I552" s="14">
        <f t="shared" si="18"/>
        <v>0.2779759</v>
      </c>
      <c r="J552" s="13">
        <f t="shared" si="19"/>
        <v>356047.44999999995</v>
      </c>
    </row>
    <row r="553" spans="1:10" x14ac:dyDescent="0.25">
      <c r="A553" s="10">
        <v>43750.791666666664</v>
      </c>
      <c r="B553" s="11" t="s">
        <v>8</v>
      </c>
      <c r="C553" s="11" t="s">
        <v>5</v>
      </c>
      <c r="D553" s="16" t="str">
        <f>HYPERLINK("https://freddywills.com/pick/7219/saturday-s-college-football-free-play-62-39-ats-l101-free-sports-picks.html", "Air Force -3 1.1% Free play ")</f>
        <v xml:space="preserve">Air Force -3 1.1% Free play </v>
      </c>
      <c r="E553" s="11">
        <v>1.1000000000000001</v>
      </c>
      <c r="F553" s="11">
        <v>-1.1000000000000001</v>
      </c>
      <c r="G553" s="11" t="s">
        <v>4</v>
      </c>
      <c r="H553" s="13">
        <v>1000</v>
      </c>
      <c r="I553" s="14">
        <f t="shared" si="18"/>
        <v>0.23797589999999999</v>
      </c>
      <c r="J553" s="13">
        <f t="shared" si="19"/>
        <v>352047.44999999995</v>
      </c>
    </row>
    <row r="554" spans="1:10" x14ac:dyDescent="0.25">
      <c r="A554" s="10">
        <v>43750.645833333336</v>
      </c>
      <c r="B554" s="11" t="s">
        <v>8</v>
      </c>
      <c r="C554" s="11" t="s">
        <v>5</v>
      </c>
      <c r="D554" s="16" t="str">
        <f>HYPERLINK("https://freddywills.com/pick/7220/michiganstate-vs-wisconsin-guaranteed-or-back.html", "Michigan State +10.5 2.2% play")</f>
        <v>Michigan State +10.5 2.2% play</v>
      </c>
      <c r="E554" s="11">
        <v>2.2000000000000002</v>
      </c>
      <c r="F554" s="11">
        <v>-1.1000000000000001</v>
      </c>
      <c r="G554" s="11" t="s">
        <v>6</v>
      </c>
      <c r="H554" s="13">
        <v>-2200</v>
      </c>
      <c r="I554" s="14">
        <f t="shared" si="18"/>
        <v>0.22797589999999998</v>
      </c>
      <c r="J554" s="13">
        <f t="shared" si="19"/>
        <v>351047.44999999995</v>
      </c>
    </row>
    <row r="555" spans="1:10" x14ac:dyDescent="0.25">
      <c r="A555" s="10">
        <v>43750.645833333336</v>
      </c>
      <c r="B555" s="11" t="s">
        <v>8</v>
      </c>
      <c r="C555" s="11" t="s">
        <v>12</v>
      </c>
      <c r="D555" s="16" t="str">
        <f>HYPERLINK("https://freddywills.com/pick/7221/parlay-of-the-week-guaranteed-profit-or-back.html", "Michigan State +10.5 /Under 40.5 1% parlay @ +265")</f>
        <v>Michigan State +10.5 /Under 40.5 1% parlay @ +265</v>
      </c>
      <c r="E555" s="11">
        <v>1</v>
      </c>
      <c r="F555" s="11">
        <v>2.65</v>
      </c>
      <c r="G555" s="11" t="s">
        <v>6</v>
      </c>
      <c r="H555" s="13">
        <v>-1000</v>
      </c>
      <c r="I555" s="14">
        <f t="shared" si="18"/>
        <v>0.24997589999999997</v>
      </c>
      <c r="J555" s="13">
        <f t="shared" si="19"/>
        <v>353247.44999999995</v>
      </c>
    </row>
    <row r="556" spans="1:10" x14ac:dyDescent="0.25">
      <c r="A556" s="10">
        <v>43750.5</v>
      </c>
      <c r="B556" s="11" t="s">
        <v>8</v>
      </c>
      <c r="C556" s="11" t="s">
        <v>5</v>
      </c>
      <c r="D556" s="16" t="str">
        <f>HYPERLINK("https://freddywills.com/pick/7212/red-river-rivalry-3-3-play-guaranteed-or-back.html", "Texas +10.5 3.3% play ")</f>
        <v xml:space="preserve">Texas +10.5 3.3% play </v>
      </c>
      <c r="E556" s="11">
        <v>3.3</v>
      </c>
      <c r="F556" s="11">
        <v>-1.1000000000000001</v>
      </c>
      <c r="G556" s="11" t="s">
        <v>4</v>
      </c>
      <c r="H556" s="13">
        <v>3000</v>
      </c>
      <c r="I556" s="14">
        <f t="shared" si="18"/>
        <v>0.25997589999999998</v>
      </c>
      <c r="J556" s="13">
        <f t="shared" si="19"/>
        <v>354247.44999999995</v>
      </c>
    </row>
    <row r="557" spans="1:10" x14ac:dyDescent="0.25">
      <c r="A557" s="10">
        <v>43750.5</v>
      </c>
      <c r="B557" s="11" t="s">
        <v>8</v>
      </c>
      <c r="C557" s="11" t="s">
        <v>5</v>
      </c>
      <c r="D557" s="16" t="str">
        <f>HYPERLINK("https://freddywills.com/pick/7222/premium-newsletter-play-over-60-career-sec-action-guaranteed-or-back-18-10-ats-run-on-2-pl.html", "Tennessee +7 2.2% play ")</f>
        <v xml:space="preserve">Tennessee +7 2.2% play </v>
      </c>
      <c r="E557" s="11">
        <v>2.2000000000000002</v>
      </c>
      <c r="F557" s="11">
        <v>-1.1000000000000001</v>
      </c>
      <c r="G557" s="11" t="s">
        <v>4</v>
      </c>
      <c r="H557" s="13">
        <v>2000</v>
      </c>
      <c r="I557" s="14">
        <f t="shared" si="18"/>
        <v>0.22997589999999998</v>
      </c>
      <c r="J557" s="13">
        <f t="shared" si="19"/>
        <v>351247.44999999995</v>
      </c>
    </row>
    <row r="558" spans="1:10" x14ac:dyDescent="0.25">
      <c r="A558" s="10">
        <v>43749.833333333336</v>
      </c>
      <c r="B558" s="11" t="s">
        <v>8</v>
      </c>
      <c r="C558" s="11" t="s">
        <v>18</v>
      </c>
      <c r="D558" s="16" t="str">
        <f>HYPERLINK("https://freddywills.com/pick/7223/friday-night-lights-virginia-vs-miami-guaranteed-or-back-saturday-free.html", "Miami -135 3% play")</f>
        <v>Miami -135 3% play</v>
      </c>
      <c r="E558" s="11">
        <v>3</v>
      </c>
      <c r="F558" s="11">
        <v>-1.35</v>
      </c>
      <c r="G558" s="11" t="s">
        <v>4</v>
      </c>
      <c r="H558" s="13">
        <v>2222.2199999999998</v>
      </c>
      <c r="I558" s="14">
        <f t="shared" si="18"/>
        <v>0.20997589999999999</v>
      </c>
      <c r="J558" s="13">
        <f t="shared" si="19"/>
        <v>349247.44999999995</v>
      </c>
    </row>
    <row r="559" spans="1:10" x14ac:dyDescent="0.25">
      <c r="A559" s="10">
        <v>43748.833333333336</v>
      </c>
      <c r="B559" s="11" t="s">
        <v>8</v>
      </c>
      <c r="C559" s="11" t="s">
        <v>5</v>
      </c>
      <c r="D559" s="16" t="str">
        <f>HYPERLINK("https://freddywills.com/pick/7214/thursday-night-lights-syracuse-vs-ncstate-guaranteed-or-back.html", "Syracuse +4.5 2.2% Play")</f>
        <v>Syracuse +4.5 2.2% Play</v>
      </c>
      <c r="E559" s="11">
        <v>2.2000000000000002</v>
      </c>
      <c r="F559" s="11">
        <v>-1.1000000000000001</v>
      </c>
      <c r="G559" s="11" t="s">
        <v>6</v>
      </c>
      <c r="H559" s="13">
        <v>-2200</v>
      </c>
      <c r="I559" s="14">
        <f t="shared" si="18"/>
        <v>0.1877537</v>
      </c>
      <c r="J559" s="13">
        <f t="shared" si="19"/>
        <v>347025.23</v>
      </c>
    </row>
    <row r="560" spans="1:10" x14ac:dyDescent="0.25">
      <c r="A560" s="10">
        <v>43747.833333333336</v>
      </c>
      <c r="B560" s="11" t="s">
        <v>8</v>
      </c>
      <c r="C560" s="11" t="s">
        <v>18</v>
      </c>
      <c r="D560" s="16" t="str">
        <f>HYPERLINK("https://freddywills.com/pick/7213/sunbelt-action-wednesday-night-78-59-l137-ncaaf-picks-59-15-roi-45-l4-weeks-overall.html", "App State +120 2.5% play ")</f>
        <v xml:space="preserve">App State +120 2.5% play </v>
      </c>
      <c r="E560" s="11">
        <v>2.5</v>
      </c>
      <c r="F560" s="11">
        <v>1.2</v>
      </c>
      <c r="G560" s="11" t="s">
        <v>4</v>
      </c>
      <c r="H560" s="13">
        <v>3000</v>
      </c>
      <c r="I560" s="14">
        <f t="shared" si="18"/>
        <v>0.20975369999999999</v>
      </c>
      <c r="J560" s="13">
        <f t="shared" si="19"/>
        <v>349225.23</v>
      </c>
    </row>
    <row r="561" spans="1:10" x14ac:dyDescent="0.25">
      <c r="A561" s="10">
        <v>43744.684027777781</v>
      </c>
      <c r="B561" s="11" t="s">
        <v>2</v>
      </c>
      <c r="C561" s="11" t="s">
        <v>5</v>
      </c>
      <c r="D561" s="16" t="str">
        <f>HYPERLINK("https://freddywills.com/pick/7211/broncos-vs-chargers-94-66-107-904-l-160-nfl-picks-guaranteed-or-back.html", "Broncos +5.5 2.2% play ")</f>
        <v xml:space="preserve">Broncos +5.5 2.2% play </v>
      </c>
      <c r="E561" s="11">
        <v>2.2000000000000002</v>
      </c>
      <c r="F561" s="11">
        <v>-1.1000000000000001</v>
      </c>
      <c r="G561" s="11" t="s">
        <v>4</v>
      </c>
      <c r="H561" s="13">
        <v>2000</v>
      </c>
      <c r="I561" s="14">
        <f t="shared" si="18"/>
        <v>0.17975369999999999</v>
      </c>
      <c r="J561" s="13">
        <f t="shared" si="19"/>
        <v>346225.23</v>
      </c>
    </row>
    <row r="562" spans="1:10" x14ac:dyDescent="0.25">
      <c r="A562" s="10">
        <v>43744.541666666664</v>
      </c>
      <c r="B562" s="11" t="s">
        <v>2</v>
      </c>
      <c r="C562" s="11" t="s">
        <v>5</v>
      </c>
      <c r="D562" s="16" t="str">
        <f>HYPERLINK("https://freddywills.com/pick/7208/5-5-max-nfl-pod-49-27-l76-max-rated-nfl-pod-s-dates-back-to-2015-guarnateed-or-back.html", "Steelers +3.5 5.5% NFL POD")</f>
        <v>Steelers +3.5 5.5% NFL POD</v>
      </c>
      <c r="E562" s="11">
        <v>5.5</v>
      </c>
      <c r="F562" s="11">
        <v>-1.1000000000000001</v>
      </c>
      <c r="G562" s="11" t="s">
        <v>4</v>
      </c>
      <c r="H562" s="13">
        <v>5000</v>
      </c>
      <c r="I562" s="14">
        <f t="shared" si="18"/>
        <v>0.1597537</v>
      </c>
      <c r="J562" s="13">
        <f t="shared" si="19"/>
        <v>344225.23</v>
      </c>
    </row>
    <row r="563" spans="1:10" x14ac:dyDescent="0.25">
      <c r="A563" s="10">
        <v>43744.541666666664</v>
      </c>
      <c r="B563" s="11" t="s">
        <v>2</v>
      </c>
      <c r="C563" s="11" t="s">
        <v>5</v>
      </c>
      <c r="D563" s="16" t="str">
        <f>HYPERLINK("https://freddywills.com/pick/7209/bears-vs-raiders-105-77-103-311-l-182-all-sports-guaranteed-or-back.html", "Bears -5.5 2.2% play")</f>
        <v>Bears -5.5 2.2% play</v>
      </c>
      <c r="E563" s="11">
        <v>2.2000000000000002</v>
      </c>
      <c r="F563" s="11">
        <v>-1.1000000000000001</v>
      </c>
      <c r="G563" s="11" t="s">
        <v>6</v>
      </c>
      <c r="H563" s="13">
        <v>-2200</v>
      </c>
      <c r="I563" s="14">
        <f t="shared" si="18"/>
        <v>0.10975370000000001</v>
      </c>
      <c r="J563" s="13">
        <f t="shared" si="19"/>
        <v>339225.23</v>
      </c>
    </row>
    <row r="564" spans="1:10" x14ac:dyDescent="0.25">
      <c r="A564" s="10">
        <v>43744.541666666664</v>
      </c>
      <c r="B564" s="11" t="s">
        <v>2</v>
      </c>
      <c r="C564" s="11" t="s">
        <v>10</v>
      </c>
      <c r="D564" s="16" t="str">
        <f>HYPERLINK("https://freddywills.com/pick/7210/nfl-teaser-of-the-week-guaranteed-or-back-92-64-76-021-l-156-all-sports-teasers.html", "Titans +3.5 / Bengals +3.5 6.5pt teaser (ties lose -120)")</f>
        <v>Titans +3.5 / Bengals +3.5 6.5pt teaser (ties lose -120)</v>
      </c>
      <c r="E564" s="11">
        <v>3.6</v>
      </c>
      <c r="F564" s="11">
        <v>-1.2</v>
      </c>
      <c r="G564" s="11" t="s">
        <v>6</v>
      </c>
      <c r="H564" s="13">
        <v>-3600</v>
      </c>
      <c r="I564" s="14">
        <f t="shared" si="18"/>
        <v>0.1317537</v>
      </c>
      <c r="J564" s="13">
        <f t="shared" si="19"/>
        <v>341425.23</v>
      </c>
    </row>
    <row r="565" spans="1:10" x14ac:dyDescent="0.25">
      <c r="A565" s="10">
        <v>43743.833333333336</v>
      </c>
      <c r="B565" s="11" t="s">
        <v>8</v>
      </c>
      <c r="C565" s="11" t="s">
        <v>5</v>
      </c>
      <c r="D565" s="16" t="str">
        <f>HYPERLINK("https://freddywills.com/pick/7200/5-5-max-ncaaf-pod-1st-this-year-duke-vs-pitt-89-60-ats-59-7-l149-max-rated-picks-guarant.html", "Pittsburgh +5 5.5% NCAAF POD")</f>
        <v>Pittsburgh +5 5.5% NCAAF POD</v>
      </c>
      <c r="E565" s="11">
        <v>5.5</v>
      </c>
      <c r="F565" s="11">
        <v>-1.1000000000000001</v>
      </c>
      <c r="G565" s="11" t="s">
        <v>4</v>
      </c>
      <c r="H565" s="13">
        <v>5000</v>
      </c>
      <c r="I565" s="14">
        <f t="shared" si="18"/>
        <v>0.16775370000000001</v>
      </c>
      <c r="J565" s="13">
        <f t="shared" si="19"/>
        <v>345025.23</v>
      </c>
    </row>
    <row r="566" spans="1:10" x14ac:dyDescent="0.25">
      <c r="A566" s="10">
        <v>43743.645833333336</v>
      </c>
      <c r="B566" s="11" t="s">
        <v>8</v>
      </c>
      <c r="C566" s="11" t="s">
        <v>5</v>
      </c>
      <c r="D566" s="16" t="str">
        <f>HYPERLINK("https://freddywills.com/pick/7201/navy-vs-airforce-showdown-guaranteed-or-back-72-56-l128-ncaaf-picks-overall.html", "Navy +3.5 2.2% Play ")</f>
        <v xml:space="preserve">Navy +3.5 2.2% Play </v>
      </c>
      <c r="E566" s="11">
        <v>2.2000000000000002</v>
      </c>
      <c r="F566" s="11">
        <v>-1.1000000000000001</v>
      </c>
      <c r="G566" s="11" t="s">
        <v>4</v>
      </c>
      <c r="H566" s="13">
        <v>2000</v>
      </c>
      <c r="I566" s="14">
        <f t="shared" si="18"/>
        <v>0.11775369999999999</v>
      </c>
      <c r="J566" s="13">
        <f t="shared" si="19"/>
        <v>340025.23</v>
      </c>
    </row>
    <row r="567" spans="1:10" x14ac:dyDescent="0.25">
      <c r="A567" s="10">
        <v>43743.645833333336</v>
      </c>
      <c r="B567" s="11" t="s">
        <v>8</v>
      </c>
      <c r="C567" s="11" t="s">
        <v>5</v>
      </c>
      <c r="D567" s="16" t="str">
        <f>HYPERLINK("https://freddywills.com/pick/7202/saturday-s-free-pick-31-19-l-50-free-ncaaf-picks-61-40-l101.html", "Bowling Green +46.5 1.1% Free ")</f>
        <v xml:space="preserve">Bowling Green +46.5 1.1% Free </v>
      </c>
      <c r="E567" s="11">
        <v>1.1000000000000001</v>
      </c>
      <c r="F567" s="11">
        <v>-1.1000000000000001</v>
      </c>
      <c r="G567" s="11" t="s">
        <v>6</v>
      </c>
      <c r="H567" s="13">
        <v>-1100</v>
      </c>
      <c r="I567" s="14">
        <f t="shared" si="18"/>
        <v>9.7753699999999985E-2</v>
      </c>
      <c r="J567" s="13">
        <f t="shared" si="19"/>
        <v>338025.23</v>
      </c>
    </row>
    <row r="568" spans="1:10" x14ac:dyDescent="0.25">
      <c r="A568" s="10">
        <v>43743.645833333336</v>
      </c>
      <c r="B568" s="11" t="s">
        <v>8</v>
      </c>
      <c r="C568" s="11" t="s">
        <v>5</v>
      </c>
      <c r="D568" s="16" t="str">
        <f>HYPERLINK("https://freddywills.com/pick/7207/premium-newsletter-pick-florida-vs-auburn-guaranteed-or-back-40-21-run-l61-ncaaf-3-plays.html", "Florida +2.5 3.3% play ")</f>
        <v xml:space="preserve">Florida +2.5 3.3% play </v>
      </c>
      <c r="E568" s="11">
        <v>3.3</v>
      </c>
      <c r="F568" s="11">
        <v>-1.1000000000000001</v>
      </c>
      <c r="G568" s="11" t="s">
        <v>4</v>
      </c>
      <c r="H568" s="13">
        <v>3000</v>
      </c>
      <c r="I568" s="14">
        <f t="shared" si="18"/>
        <v>0.10875369999999998</v>
      </c>
      <c r="J568" s="13">
        <f t="shared" si="19"/>
        <v>339125.23</v>
      </c>
    </row>
    <row r="569" spans="1:10" x14ac:dyDescent="0.25">
      <c r="A569" s="10">
        <v>43743.5</v>
      </c>
      <c r="B569" s="11" t="s">
        <v>8</v>
      </c>
      <c r="C569" s="11" t="s">
        <v>5</v>
      </c>
      <c r="D569" s="16" t="str">
        <f>HYPERLINK("https://freddywills.com/pick/7204/early-bird-special-guaranteed-or-back-uconn-vs-usf.html", "Connecticut +11 2.2% play ")</f>
        <v xml:space="preserve">Connecticut +11 2.2% play </v>
      </c>
      <c r="E569" s="11">
        <v>2.2000000000000002</v>
      </c>
      <c r="F569" s="11">
        <v>-1.1000000000000001</v>
      </c>
      <c r="G569" s="11" t="s">
        <v>6</v>
      </c>
      <c r="H569" s="13">
        <v>-2200</v>
      </c>
      <c r="I569" s="14">
        <f t="shared" si="18"/>
        <v>7.8753699999999982E-2</v>
      </c>
      <c r="J569" s="13">
        <f t="shared" si="19"/>
        <v>336125.23</v>
      </c>
    </row>
    <row r="570" spans="1:10" x14ac:dyDescent="0.25">
      <c r="A570" s="10">
        <v>43743.5</v>
      </c>
      <c r="B570" s="11" t="s">
        <v>8</v>
      </c>
      <c r="C570" s="11" t="s">
        <v>5</v>
      </c>
      <c r="D570" s="16" t="str">
        <f>HYPERLINK("https://freddywills.com/pick/7205/early-bird-special-guaranteed-or-back-40-21-l61-3-ncaaf-picks.html", "Army +3 -125 buy 1/2 3.75% play ")</f>
        <v xml:space="preserve">Army +3 -125 buy 1/2 3.75% play </v>
      </c>
      <c r="E570" s="11">
        <v>3.75</v>
      </c>
      <c r="F570" s="11">
        <v>-1.25</v>
      </c>
      <c r="G570" s="11" t="s">
        <v>6</v>
      </c>
      <c r="H570" s="13">
        <v>-3750</v>
      </c>
      <c r="I570" s="14">
        <f t="shared" si="18"/>
        <v>0.10075369999999997</v>
      </c>
      <c r="J570" s="13">
        <f t="shared" si="19"/>
        <v>338325.23</v>
      </c>
    </row>
    <row r="571" spans="1:10" x14ac:dyDescent="0.25">
      <c r="A571" s="10">
        <v>43743.39166666667</v>
      </c>
      <c r="B571" s="11" t="s">
        <v>8</v>
      </c>
      <c r="C571" s="11" t="s">
        <v>18</v>
      </c>
      <c r="D571" s="16" t="str">
        <f>HYPERLINK("https://freddywills.com/pick/7206/michigan-vs-iowa-guaranteed-or-back-40-21-l61-3-plays.html", "Michigan -180 3% play ")</f>
        <v xml:space="preserve">Michigan -180 3% play </v>
      </c>
      <c r="E571" s="11">
        <v>3</v>
      </c>
      <c r="F571" s="11">
        <v>-1.8</v>
      </c>
      <c r="G571" s="11" t="s">
        <v>4</v>
      </c>
      <c r="H571" s="13">
        <v>1666.67</v>
      </c>
      <c r="I571" s="14">
        <f t="shared" si="18"/>
        <v>0.13825369999999998</v>
      </c>
      <c r="J571" s="13">
        <f t="shared" si="19"/>
        <v>342075.23</v>
      </c>
    </row>
    <row r="572" spans="1:10" x14ac:dyDescent="0.25">
      <c r="A572" s="10">
        <v>43742.833333333336</v>
      </c>
      <c r="B572" s="11" t="s">
        <v>8</v>
      </c>
      <c r="C572" s="11" t="s">
        <v>5</v>
      </c>
      <c r="D572" s="16" t="str">
        <f>HYPERLINK("https://freddywills.com/pick/7203/friday-night-lights-cinci-vs-ucf-guaranteed-or-back-39-21-ats-run-on-3-ncaaf-picks-guaran.html", "Cinci +4 3.3% play ")</f>
        <v xml:space="preserve">Cinci +4 3.3% play </v>
      </c>
      <c r="E572" s="11">
        <v>3.3</v>
      </c>
      <c r="F572" s="11">
        <v>-1.1000000000000001</v>
      </c>
      <c r="G572" s="11" t="s">
        <v>4</v>
      </c>
      <c r="H572" s="13">
        <v>3000</v>
      </c>
      <c r="I572" s="14">
        <f t="shared" si="18"/>
        <v>0.12158699999999997</v>
      </c>
      <c r="J572" s="13">
        <f t="shared" si="19"/>
        <v>340408.56</v>
      </c>
    </row>
    <row r="573" spans="1:10" x14ac:dyDescent="0.25">
      <c r="A573" s="10">
        <v>43741.847222222219</v>
      </c>
      <c r="B573" s="11" t="s">
        <v>2</v>
      </c>
      <c r="C573" s="11" t="s">
        <v>7</v>
      </c>
      <c r="D573" s="16" t="str">
        <f>HYPERLINK("https://freddywills.com/pick/7198/thursday-night-college-football-total-play-guaranteed-or-back-rams-vs-seahawks.html", "Rams/Seahawks Under 49.5 2.2% play")</f>
        <v>Rams/Seahawks Under 49.5 2.2% play</v>
      </c>
      <c r="E573" s="11">
        <v>2.2000000000000002</v>
      </c>
      <c r="F573" s="11">
        <v>-1.1000000000000001</v>
      </c>
      <c r="G573" s="11" t="s">
        <v>6</v>
      </c>
      <c r="H573" s="13">
        <v>-2200</v>
      </c>
      <c r="I573" s="14">
        <f t="shared" si="18"/>
        <v>9.1586999999999974E-2</v>
      </c>
      <c r="J573" s="13">
        <f t="shared" si="19"/>
        <v>337408.56</v>
      </c>
    </row>
    <row r="574" spans="1:10" x14ac:dyDescent="0.25">
      <c r="A574" s="10">
        <v>43741.833333333336</v>
      </c>
      <c r="B574" s="11" t="s">
        <v>8</v>
      </c>
      <c r="C574" s="11" t="s">
        <v>5</v>
      </c>
      <c r="D574" s="16" t="str">
        <f>HYPERLINK("https://freddywills.com/pick/7199/thursday-night-lights-ecu-vs-temple-guaranteed-or-back.html", "East Carolina +12 2.2% play ")</f>
        <v xml:space="preserve">East Carolina +12 2.2% play </v>
      </c>
      <c r="E574" s="11">
        <v>2.2000000000000002</v>
      </c>
      <c r="F574" s="11">
        <v>-1.1000000000000001</v>
      </c>
      <c r="G574" s="11" t="s">
        <v>4</v>
      </c>
      <c r="H574" s="13">
        <v>2000</v>
      </c>
      <c r="I574" s="14">
        <f t="shared" si="18"/>
        <v>0.11358699999999997</v>
      </c>
      <c r="J574" s="13">
        <f t="shared" si="19"/>
        <v>339608.56</v>
      </c>
    </row>
    <row r="575" spans="1:10" x14ac:dyDescent="0.25">
      <c r="A575" s="10">
        <v>43737.847222222219</v>
      </c>
      <c r="B575" s="11" t="s">
        <v>2</v>
      </c>
      <c r="C575" s="11" t="s">
        <v>18</v>
      </c>
      <c r="D575" s="16" t="str">
        <f>HYPERLINK("https://freddywills.com/pick/7197/saints-vs-cowboys-99-77-roi-in-the-last-100-picks-in-this-situation-guaranteed-or-back.html", "Saints +130 2.5% ML Dog Play")</f>
        <v>Saints +130 2.5% ML Dog Play</v>
      </c>
      <c r="E575" s="11">
        <v>2.5</v>
      </c>
      <c r="F575" s="11">
        <v>1.3</v>
      </c>
      <c r="G575" s="11" t="s">
        <v>4</v>
      </c>
      <c r="H575" s="13">
        <v>3250</v>
      </c>
      <c r="I575" s="14">
        <f t="shared" si="18"/>
        <v>9.3586999999999962E-2</v>
      </c>
      <c r="J575" s="13">
        <f t="shared" si="19"/>
        <v>337608.56</v>
      </c>
    </row>
    <row r="576" spans="1:10" x14ac:dyDescent="0.25">
      <c r="A576" s="10">
        <v>43737.684027777781</v>
      </c>
      <c r="B576" s="11" t="s">
        <v>2</v>
      </c>
      <c r="C576" s="11" t="s">
        <v>10</v>
      </c>
      <c r="D576" s="16" t="str">
        <f>HYPERLINK("https://freddywills.com/pick/7196/3-3-nfl-teaser-of-the-week-guaranteed-or-back-92-63-l155-teasers-79-3-roi.html", "Vikings +7 / Broncos +3.5 3.3% Teaser of the Week")</f>
        <v>Vikings +7 / Broncos +3.5 3.3% Teaser of the Week</v>
      </c>
      <c r="E576" s="11">
        <v>3.3</v>
      </c>
      <c r="F576" s="11">
        <v>-1.1000000000000001</v>
      </c>
      <c r="G576" s="11" t="s">
        <v>6</v>
      </c>
      <c r="H576" s="13">
        <v>-3300</v>
      </c>
      <c r="I576" s="14">
        <f t="shared" si="18"/>
        <v>6.1086999999999961E-2</v>
      </c>
      <c r="J576" s="13">
        <f t="shared" si="19"/>
        <v>334358.56</v>
      </c>
    </row>
    <row r="577" spans="1:10" x14ac:dyDescent="0.25">
      <c r="A577" s="10">
        <v>43737.541666666664</v>
      </c>
      <c r="B577" s="11" t="s">
        <v>2</v>
      </c>
      <c r="C577" s="11" t="s">
        <v>5</v>
      </c>
      <c r="D577" s="16" t="str">
        <f>HYPERLINK("https://freddywills.com/pick/7193/2-2-nfl-play-raiders-vs-colts-guaranteed-or-back.html", "Raiders +6.5 2.2% play ")</f>
        <v xml:space="preserve">Raiders +6.5 2.2% play </v>
      </c>
      <c r="E577" s="11">
        <v>2.2000000000000002</v>
      </c>
      <c r="F577" s="11">
        <v>-1.1000000000000001</v>
      </c>
      <c r="G577" s="11" t="s">
        <v>4</v>
      </c>
      <c r="H577" s="13">
        <v>2000</v>
      </c>
      <c r="I577" s="14">
        <f t="shared" si="18"/>
        <v>9.4086999999999962E-2</v>
      </c>
      <c r="J577" s="13">
        <f t="shared" si="19"/>
        <v>337658.56</v>
      </c>
    </row>
    <row r="578" spans="1:10" x14ac:dyDescent="0.25">
      <c r="A578" s="10">
        <v>43737.541666666664</v>
      </c>
      <c r="B578" s="11" t="s">
        <v>2</v>
      </c>
      <c r="C578" s="11" t="s">
        <v>5</v>
      </c>
      <c r="D578" s="16" t="str">
        <f>HYPERLINK("https://freddywills.com/pick/7194/chargers-vs-dolphins-91-63-ats-l154-nfl-picks-guaranteed-or-back.html", "Dolphins +14.5 3.3% play ")</f>
        <v xml:space="preserve">Dolphins +14.5 3.3% play </v>
      </c>
      <c r="E578" s="11">
        <v>3.3</v>
      </c>
      <c r="F578" s="11">
        <v>-1.1000000000000001</v>
      </c>
      <c r="G578" s="11" t="s">
        <v>6</v>
      </c>
      <c r="H578" s="13">
        <v>-3300</v>
      </c>
      <c r="I578" s="14">
        <f t="shared" si="18"/>
        <v>7.4086999999999958E-2</v>
      </c>
      <c r="J578" s="13">
        <f t="shared" si="19"/>
        <v>335658.56</v>
      </c>
    </row>
    <row r="579" spans="1:10" x14ac:dyDescent="0.25">
      <c r="A579" s="10">
        <v>43737.541666666664</v>
      </c>
      <c r="B579" s="11" t="s">
        <v>2</v>
      </c>
      <c r="C579" s="11" t="s">
        <v>5</v>
      </c>
      <c r="D579" s="16" t="str">
        <f>HYPERLINK("https://freddywills.com/pick/7195/5-5-max-nfl-pod-48-27-l75-nfl-max-rated-pod-s-64-guaranteed-or-back.html", "LIONS +7.5 5.5% NFL POD")</f>
        <v>LIONS +7.5 5.5% NFL POD</v>
      </c>
      <c r="E579" s="11">
        <v>5.5</v>
      </c>
      <c r="F579" s="11">
        <v>-1.1000000000000001</v>
      </c>
      <c r="G579" s="11" t="s">
        <v>4</v>
      </c>
      <c r="H579" s="13">
        <v>5000</v>
      </c>
      <c r="I579" s="14">
        <f t="shared" si="18"/>
        <v>0.10708699999999996</v>
      </c>
      <c r="J579" s="13">
        <f t="shared" si="19"/>
        <v>338958.56</v>
      </c>
    </row>
    <row r="580" spans="1:10" x14ac:dyDescent="0.25">
      <c r="A580" s="10">
        <v>43736.833333333336</v>
      </c>
      <c r="B580" s="11" t="s">
        <v>8</v>
      </c>
      <c r="C580" s="11" t="s">
        <v>5</v>
      </c>
      <c r="D580" s="16" t="str">
        <f>HYPERLINK("https://freddywills.com/pick/7190/premium-newsletter-play-unlv-vs-wyoming-guaranteed-or-back.html", "UNLV +9 3.3% Play / UNLV +290 0.5% Play")</f>
        <v>UNLV +9 3.3% Play / UNLV +290 0.5% Play</v>
      </c>
      <c r="E580" s="11">
        <v>3.8</v>
      </c>
      <c r="F580" s="11">
        <v>-1.1000000000000001</v>
      </c>
      <c r="G580" s="11" t="s">
        <v>6</v>
      </c>
      <c r="H580" s="13">
        <v>-3800</v>
      </c>
      <c r="I580" s="14">
        <f t="shared" si="18"/>
        <v>5.708699999999995E-2</v>
      </c>
      <c r="J580" s="13">
        <f t="shared" si="19"/>
        <v>333958.56</v>
      </c>
    </row>
    <row r="581" spans="1:10" x14ac:dyDescent="0.25">
      <c r="A581" s="10">
        <v>43736.8125</v>
      </c>
      <c r="B581" s="11" t="s">
        <v>8</v>
      </c>
      <c r="C581" s="11" t="s">
        <v>5</v>
      </c>
      <c r="D581" s="16" t="str">
        <f>HYPERLINK("https://freddywills.com/pick/7192/nebraska-vs-ohiost-premium-pick-guaranteed-or-back.html", "Nebraska +17 3.3% play ")</f>
        <v xml:space="preserve">Nebraska +17 3.3% play </v>
      </c>
      <c r="E581" s="11">
        <v>3.3</v>
      </c>
      <c r="F581" s="11">
        <v>-1.1000000000000001</v>
      </c>
      <c r="G581" s="11" t="s">
        <v>6</v>
      </c>
      <c r="H581" s="13">
        <v>-3300</v>
      </c>
      <c r="I581" s="14">
        <f t="shared" si="18"/>
        <v>9.5086999999999949E-2</v>
      </c>
      <c r="J581" s="13">
        <f t="shared" si="19"/>
        <v>337758.56</v>
      </c>
    </row>
    <row r="582" spans="1:10" x14ac:dyDescent="0.25">
      <c r="A582" s="10">
        <v>43736.645833333336</v>
      </c>
      <c r="B582" s="11" t="s">
        <v>8</v>
      </c>
      <c r="C582" s="11" t="s">
        <v>5</v>
      </c>
      <c r="D582" s="16" t="str">
        <f>HYPERLINK("https://freddywills.com/pick/7185/saturday-s-free-pick-63-41-18-973-l-104-ncaaf-free-picks-georgiatech-vs-temple.html", "Georgia Tech +8.5 1.1% Free Pick")</f>
        <v>Georgia Tech +8.5 1.1% Free Pick</v>
      </c>
      <c r="E582" s="11">
        <v>1.1000000000000001</v>
      </c>
      <c r="F582" s="11">
        <v>-1.1000000000000001</v>
      </c>
      <c r="G582" s="11" t="s">
        <v>6</v>
      </c>
      <c r="H582" s="13">
        <v>-1100</v>
      </c>
      <c r="I582" s="14">
        <f t="shared" si="18"/>
        <v>0.12808699999999995</v>
      </c>
      <c r="J582" s="13">
        <f t="shared" si="19"/>
        <v>341058.56</v>
      </c>
    </row>
    <row r="583" spans="1:10" x14ac:dyDescent="0.25">
      <c r="A583" s="10">
        <v>43736.645833333336</v>
      </c>
      <c r="B583" s="11" t="s">
        <v>8</v>
      </c>
      <c r="C583" s="11" t="s">
        <v>5</v>
      </c>
      <c r="D583" s="16" t="str">
        <f>HYPERLINK("https://freddywills.com/pick/7186/bostoncollege-vs-wakeforest-guaranteed-or-back.html", "Boston College +6.5 3.3% play ")</f>
        <v xml:space="preserve">Boston College +6.5 3.3% play </v>
      </c>
      <c r="E583" s="11">
        <v>3.3</v>
      </c>
      <c r="F583" s="11">
        <v>-1.1000000000000001</v>
      </c>
      <c r="G583" s="11" t="s">
        <v>4</v>
      </c>
      <c r="H583" s="13">
        <v>3000</v>
      </c>
      <c r="I583" s="14">
        <f t="shared" si="18"/>
        <v>0.13908699999999996</v>
      </c>
      <c r="J583" s="13">
        <f t="shared" si="19"/>
        <v>342158.56</v>
      </c>
    </row>
    <row r="584" spans="1:10" x14ac:dyDescent="0.25">
      <c r="A584" s="10">
        <v>43736.645833333336</v>
      </c>
      <c r="B584" s="11" t="s">
        <v>8</v>
      </c>
      <c r="C584" s="11" t="s">
        <v>5</v>
      </c>
      <c r="D584" s="16" t="str">
        <f>HYPERLINK("https://freddywills.com/pick/7187/baylor-vs-iowastate-guaranteed-or-back-19-9-ats-run.html", "Baylor +3 2.2% Play ")</f>
        <v xml:space="preserve">Baylor +3 2.2% Play </v>
      </c>
      <c r="E584" s="11">
        <v>2.2000000000000002</v>
      </c>
      <c r="F584" s="11">
        <v>-1.1000000000000001</v>
      </c>
      <c r="G584" s="11" t="s">
        <v>4</v>
      </c>
      <c r="H584" s="13">
        <v>2000</v>
      </c>
      <c r="I584" s="14">
        <f t="shared" si="18"/>
        <v>0.10908699999999995</v>
      </c>
      <c r="J584" s="13">
        <f t="shared" si="19"/>
        <v>339158.56</v>
      </c>
    </row>
    <row r="585" spans="1:10" x14ac:dyDescent="0.25">
      <c r="A585" s="10">
        <v>43736.645833333336</v>
      </c>
      <c r="B585" s="11" t="s">
        <v>8</v>
      </c>
      <c r="C585" s="11" t="s">
        <v>5</v>
      </c>
      <c r="D585" s="16" t="str">
        <f>HYPERLINK("https://freddywills.com/pick/7191/4-4-ncaaf-pod-pac12-game-of-the-week-usc-vs-washington-guaranteed-or-back.html", "Washington -10.5 4.4% NCAAF POD")</f>
        <v>Washington -10.5 4.4% NCAAF POD</v>
      </c>
      <c r="E585" s="11">
        <v>4.4000000000000004</v>
      </c>
      <c r="F585" s="11">
        <v>-1.1000000000000001</v>
      </c>
      <c r="G585" s="11" t="s">
        <v>4</v>
      </c>
      <c r="H585" s="13">
        <v>4000</v>
      </c>
      <c r="I585" s="14">
        <f t="shared" si="18"/>
        <v>8.9086999999999944E-2</v>
      </c>
      <c r="J585" s="13">
        <f t="shared" si="19"/>
        <v>337158.56</v>
      </c>
    </row>
    <row r="586" spans="1:10" x14ac:dyDescent="0.25">
      <c r="A586" s="10">
        <v>43736.5</v>
      </c>
      <c r="B586" s="11" t="s">
        <v>8</v>
      </c>
      <c r="C586" s="11" t="s">
        <v>5</v>
      </c>
      <c r="D586" s="16" t="str">
        <f>HYPERLINK("https://freddywills.com/pick/7183/macsports-game-of-the-week-35-20-run-on-3-bankroll-ncaaf-picks-guaranteed-or-back.html", "Central Michigan +17 3.3% play ")</f>
        <v xml:space="preserve">Central Michigan +17 3.3% play </v>
      </c>
      <c r="E586" s="11">
        <v>3.3</v>
      </c>
      <c r="F586" s="11">
        <v>-1.1000000000000001</v>
      </c>
      <c r="G586" s="11" t="s">
        <v>4</v>
      </c>
      <c r="H586" s="13">
        <v>3000</v>
      </c>
      <c r="I586" s="14">
        <f t="shared" si="18"/>
        <v>4.908699999999995E-2</v>
      </c>
      <c r="J586" s="13">
        <f t="shared" si="19"/>
        <v>333158.56</v>
      </c>
    </row>
    <row r="587" spans="1:10" x14ac:dyDescent="0.25">
      <c r="A587" s="10">
        <v>43736.5</v>
      </c>
      <c r="B587" s="11" t="s">
        <v>8</v>
      </c>
      <c r="C587" s="11" t="s">
        <v>5</v>
      </c>
      <c r="D587" s="16" t="str">
        <f>HYPERLINK("https://freddywills.com/pick/7184/saturday-s-1st-half-play-of-the-week-guaranteed-or-back.html", "Northwestern +14.5 1st Half @ -115 3% play ")</f>
        <v xml:space="preserve">Northwestern +14.5 1st Half @ -115 3% play </v>
      </c>
      <c r="E587" s="11">
        <v>3</v>
      </c>
      <c r="F587" s="11">
        <v>-1.1499999999999999</v>
      </c>
      <c r="G587" s="11" t="s">
        <v>4</v>
      </c>
      <c r="H587" s="13">
        <v>2608.6999999999998</v>
      </c>
      <c r="I587" s="14">
        <f t="shared" si="18"/>
        <v>1.9086999999999951E-2</v>
      </c>
      <c r="J587" s="13">
        <f t="shared" si="19"/>
        <v>330158.56</v>
      </c>
    </row>
    <row r="588" spans="1:10" x14ac:dyDescent="0.25">
      <c r="A588" s="10">
        <v>43736.5</v>
      </c>
      <c r="B588" s="11" t="s">
        <v>8</v>
      </c>
      <c r="C588" s="11" t="s">
        <v>10</v>
      </c>
      <c r="D588" s="16" t="str">
        <f>HYPERLINK("https://freddywills.com/pick/7189/91-63-76-321-l-154-all-sports-teasers-college-teaser-of-the-week-guaranteed-or-back.html", "Vanderbilt -0.5 / Liberty -1 3.3% Teaser of the Week ")</f>
        <v xml:space="preserve">Vanderbilt -0.5 / Liberty -1 3.3% Teaser of the Week </v>
      </c>
      <c r="E588" s="11">
        <v>3.3</v>
      </c>
      <c r="F588" s="11">
        <v>-1.1000000000000001</v>
      </c>
      <c r="G588" s="11" t="s">
        <v>4</v>
      </c>
      <c r="H588" s="13">
        <v>3000</v>
      </c>
      <c r="I588" s="14">
        <f t="shared" si="18"/>
        <v>-7.0000000000000479E-3</v>
      </c>
      <c r="J588" s="13">
        <f t="shared" si="19"/>
        <v>327549.86</v>
      </c>
    </row>
    <row r="589" spans="1:10" x14ac:dyDescent="0.25">
      <c r="A589" s="10">
        <v>43735.833333333336</v>
      </c>
      <c r="B589" s="11" t="s">
        <v>8</v>
      </c>
      <c r="C589" s="11" t="s">
        <v>5</v>
      </c>
      <c r="D589" s="16" t="str">
        <f>HYPERLINK("https://freddywills.com/pick/7188/friday-night-lights-san-jose-vs-air-force-guaranteed-or-back.html", "Air Force -19.5 2.2% play ")</f>
        <v xml:space="preserve">Air Force -19.5 2.2% play </v>
      </c>
      <c r="E589" s="11">
        <v>2.2000000000000002</v>
      </c>
      <c r="F589" s="11">
        <v>-1.1000000000000001</v>
      </c>
      <c r="G589" s="11" t="s">
        <v>6</v>
      </c>
      <c r="H589" s="13">
        <v>-2200</v>
      </c>
      <c r="I589" s="14">
        <f t="shared" si="18"/>
        <v>-3.7000000000000047E-2</v>
      </c>
      <c r="J589" s="13">
        <f t="shared" si="19"/>
        <v>324549.86</v>
      </c>
    </row>
    <row r="590" spans="1:10" x14ac:dyDescent="0.25">
      <c r="A590" s="10">
        <v>43734.847222222219</v>
      </c>
      <c r="B590" s="11" t="s">
        <v>2</v>
      </c>
      <c r="C590" s="11" t="s">
        <v>7</v>
      </c>
      <c r="D590" s="16" t="str">
        <f>HYPERLINK("https://freddywills.com/pick/7182/thursday-night-nfl-total-play-packers-vs-eagles-90-63-l153-nfl-picks-guaranteed-or-back.html", "Eagles/Packers Over 47 2.2% play ")</f>
        <v xml:space="preserve">Eagles/Packers Over 47 2.2% play </v>
      </c>
      <c r="E590" s="11">
        <v>2.2000000000000002</v>
      </c>
      <c r="F590" s="11">
        <v>-1.1000000000000001</v>
      </c>
      <c r="G590" s="11" t="s">
        <v>4</v>
      </c>
      <c r="H590" s="13">
        <v>2000</v>
      </c>
      <c r="I590" s="14">
        <f t="shared" si="18"/>
        <v>-1.5000000000000045E-2</v>
      </c>
      <c r="J590" s="13">
        <f t="shared" si="19"/>
        <v>326749.86</v>
      </c>
    </row>
    <row r="591" spans="1:10" x14ac:dyDescent="0.25">
      <c r="A591" s="10">
        <v>43730.684027777781</v>
      </c>
      <c r="B591" s="11" t="s">
        <v>2</v>
      </c>
      <c r="C591" s="11" t="s">
        <v>7</v>
      </c>
      <c r="D591" s="16" t="str">
        <f>HYPERLINK("https://freddywills.com/pick/7176/total-of-the-week-chargers-vs-houston-guaranteed-or-back.html", "Texans/Chargers O48.5 3.3% play ")</f>
        <v xml:space="preserve">Texans/Chargers O48.5 3.3% play </v>
      </c>
      <c r="E591" s="11">
        <v>3.3</v>
      </c>
      <c r="F591" s="11">
        <v>-1.1000000000000001</v>
      </c>
      <c r="G591" s="11" t="s">
        <v>6</v>
      </c>
      <c r="H591" s="13">
        <v>-3300</v>
      </c>
      <c r="I591" s="14">
        <f t="shared" si="18"/>
        <v>-3.5000000000000045E-2</v>
      </c>
      <c r="J591" s="13">
        <f t="shared" si="19"/>
        <v>324749.86</v>
      </c>
    </row>
    <row r="592" spans="1:10" x14ac:dyDescent="0.25">
      <c r="A592" s="10">
        <v>43730.684027777781</v>
      </c>
      <c r="B592" s="11" t="s">
        <v>2</v>
      </c>
      <c r="C592" s="11" t="s">
        <v>5</v>
      </c>
      <c r="D592" s="16" t="str">
        <f>HYPERLINK("https://freddywills.com/pick/7177/5-5-nfl-pod-47-27-ats-run-on-max-nfl-pod-s-guaranteed-or-back.html", "Saints +4.5 5.5% NFL POD")</f>
        <v>Saints +4.5 5.5% NFL POD</v>
      </c>
      <c r="E592" s="11">
        <v>5.5</v>
      </c>
      <c r="F592" s="11">
        <v>-1.1000000000000001</v>
      </c>
      <c r="G592" s="11" t="s">
        <v>4</v>
      </c>
      <c r="H592" s="13">
        <v>5000</v>
      </c>
      <c r="I592" s="14">
        <f t="shared" si="18"/>
        <v>-2.0000000000000434E-3</v>
      </c>
      <c r="J592" s="13">
        <f t="shared" si="19"/>
        <v>328049.86</v>
      </c>
    </row>
    <row r="593" spans="1:10" x14ac:dyDescent="0.25">
      <c r="A593" s="10">
        <v>43730.684027777781</v>
      </c>
      <c r="B593" s="11" t="s">
        <v>2</v>
      </c>
      <c r="C593" s="11" t="s">
        <v>5</v>
      </c>
      <c r="D593" s="16" t="str">
        <f>HYPERLINK("https://freddywills.com/pick/7180/3-3-nfl-pick-steelers-vs-49ers-117-80-ats-l197-nfl-picks-in-september-get-all-of-this-week-for.html", "Steelers +6.5 3.3% play")</f>
        <v>Steelers +6.5 3.3% play</v>
      </c>
      <c r="E593" s="11">
        <v>3.3</v>
      </c>
      <c r="F593" s="11">
        <v>-1.1000000000000001</v>
      </c>
      <c r="G593" s="11" t="s">
        <v>4</v>
      </c>
      <c r="H593" s="13">
        <v>3000</v>
      </c>
      <c r="I593" s="14">
        <f t="shared" ref="I593:I641" si="20">(H593/100000)+I594</f>
        <v>-5.2000000000000046E-2</v>
      </c>
      <c r="J593" s="13">
        <f t="shared" ref="J593:J644" si="21">H593+J594</f>
        <v>323049.86</v>
      </c>
    </row>
    <row r="594" spans="1:10" x14ac:dyDescent="0.25">
      <c r="A594" s="10">
        <v>43730.541666666664</v>
      </c>
      <c r="B594" s="11" t="s">
        <v>2</v>
      </c>
      <c r="C594" s="11" t="s">
        <v>10</v>
      </c>
      <c r="D594" s="16" t="str">
        <f>HYPERLINK("https://freddywills.com/pick/7178/nfl-teaser-of-the-week-1pm-games-35-26-l61-nfl-teasers-19-1-roi.html", "Packers -1 / Vikings -2.5 3.6% Play @-1.20")</f>
        <v>Packers -1 / Vikings -2.5 3.6% Play @-1.20</v>
      </c>
      <c r="E594" s="11">
        <v>3.6</v>
      </c>
      <c r="F594" s="11">
        <v>-1.2</v>
      </c>
      <c r="G594" s="11" t="s">
        <v>4</v>
      </c>
      <c r="H594" s="13">
        <v>3000</v>
      </c>
      <c r="I594" s="14">
        <f t="shared" si="20"/>
        <v>-8.2000000000000045E-2</v>
      </c>
      <c r="J594" s="13">
        <f t="shared" si="21"/>
        <v>320049.86</v>
      </c>
    </row>
    <row r="595" spans="1:10" x14ac:dyDescent="0.25">
      <c r="A595" s="10">
        <v>43730.541666666664</v>
      </c>
      <c r="B595" s="11" t="s">
        <v>2</v>
      </c>
      <c r="C595" s="11" t="s">
        <v>5</v>
      </c>
      <c r="D595" s="16" t="str">
        <f>HYPERLINK("https://freddywills.com/pick/7179/sunday-s-free-nfl-pick-bengals-vs-bills-47-25-36-727-l-72-nfl.html", "Bengals +6 1.1% Free Pick ")</f>
        <v xml:space="preserve">Bengals +6 1.1% Free Pick </v>
      </c>
      <c r="E595" s="11">
        <v>1.1000000000000001</v>
      </c>
      <c r="F595" s="11">
        <v>-1.1000000000000001</v>
      </c>
      <c r="G595" s="11" t="s">
        <v>4</v>
      </c>
      <c r="H595" s="13">
        <v>1000</v>
      </c>
      <c r="I595" s="14">
        <f t="shared" si="20"/>
        <v>-0.11200000000000004</v>
      </c>
      <c r="J595" s="13">
        <f t="shared" si="21"/>
        <v>317049.86</v>
      </c>
    </row>
    <row r="596" spans="1:10" x14ac:dyDescent="0.25">
      <c r="A596" s="10">
        <v>43730.541666666664</v>
      </c>
      <c r="B596" s="11" t="s">
        <v>2</v>
      </c>
      <c r="C596" s="11" t="s">
        <v>5</v>
      </c>
      <c r="D596" s="16" t="str">
        <f>HYPERLINK("https://freddywills.com/pick/7181/jets-vs-patriots-guaranteed-or-back.html", "Jets +21 2.2% play")</f>
        <v>Jets +21 2.2% play</v>
      </c>
      <c r="E596" s="11">
        <v>2.2000000000000002</v>
      </c>
      <c r="F596" s="11">
        <v>-1.1000000000000001</v>
      </c>
      <c r="G596" s="11" t="s">
        <v>4</v>
      </c>
      <c r="H596" s="13">
        <v>2000</v>
      </c>
      <c r="I596" s="14">
        <f t="shared" si="20"/>
        <v>-0.12200000000000004</v>
      </c>
      <c r="J596" s="13">
        <f t="shared" si="21"/>
        <v>316049.86</v>
      </c>
    </row>
    <row r="597" spans="1:10" x14ac:dyDescent="0.25">
      <c r="A597" s="10">
        <v>43729.9375</v>
      </c>
      <c r="B597" s="11" t="s">
        <v>8</v>
      </c>
      <c r="C597" s="11" t="s">
        <v>5</v>
      </c>
      <c r="D597" s="16" t="str">
        <f>HYPERLINK("https://freddywills.com/pick/7169/money-line-dog-of-the-week-1st-this-season-22-23-l45-college-dog-money-lines-26-3.html", "San Diego State +160 2% play ")</f>
        <v xml:space="preserve">San Diego State +160 2% play </v>
      </c>
      <c r="E597" s="11">
        <v>2</v>
      </c>
      <c r="F597" s="11">
        <v>1.6</v>
      </c>
      <c r="G597" s="11" t="s">
        <v>6</v>
      </c>
      <c r="H597" s="13">
        <v>-2000</v>
      </c>
      <c r="I597" s="14">
        <f t="shared" si="20"/>
        <v>-0.14200000000000004</v>
      </c>
      <c r="J597" s="13">
        <f t="shared" si="21"/>
        <v>314049.86</v>
      </c>
    </row>
    <row r="598" spans="1:10" x14ac:dyDescent="0.25">
      <c r="A598" s="10">
        <v>43729.645833333336</v>
      </c>
      <c r="B598" s="11" t="s">
        <v>8</v>
      </c>
      <c r="C598" s="11" t="s">
        <v>10</v>
      </c>
      <c r="D598" s="16" t="str">
        <f>HYPERLINK("https://freddywills.com/pick/7168/4-4-teaser-of-the-week-89-63-69-321-l-152-all-sports-teasers-pac12-big12-action.html", "Washington -0.5 / Texas -0.5 4.4% Teaser of the Week ")</f>
        <v xml:space="preserve">Washington -0.5 / Texas -0.5 4.4% Teaser of the Week </v>
      </c>
      <c r="E598" s="11">
        <v>4.4000000000000004</v>
      </c>
      <c r="F598" s="11">
        <v>-1.1000000000000001</v>
      </c>
      <c r="G598" s="11" t="s">
        <v>4</v>
      </c>
      <c r="H598" s="13">
        <v>4000</v>
      </c>
      <c r="I598" s="14">
        <f t="shared" si="20"/>
        <v>-0.12200000000000005</v>
      </c>
      <c r="J598" s="13">
        <f t="shared" si="21"/>
        <v>316049.86</v>
      </c>
    </row>
    <row r="599" spans="1:10" x14ac:dyDescent="0.25">
      <c r="A599" s="10">
        <v>43729.645833333336</v>
      </c>
      <c r="B599" s="11" t="s">
        <v>8</v>
      </c>
      <c r="C599" s="11" t="s">
        <v>5</v>
      </c>
      <c r="D599" s="16" t="str">
        <f>HYPERLINK("https://freddywills.com/pick/7171/pittsburgh-vs-centralflorida-guaranteed-or-back.html", "Pittsburgh +11 2.2% play ")</f>
        <v xml:space="preserve">Pittsburgh +11 2.2% play </v>
      </c>
      <c r="E599" s="11">
        <v>2.2000000000000002</v>
      </c>
      <c r="F599" s="11">
        <v>-1.1000000000000001</v>
      </c>
      <c r="G599" s="11" t="s">
        <v>4</v>
      </c>
      <c r="H599" s="13">
        <v>2000</v>
      </c>
      <c r="I599" s="14">
        <f t="shared" si="20"/>
        <v>-0.16200000000000006</v>
      </c>
      <c r="J599" s="13">
        <f t="shared" si="21"/>
        <v>312049.86</v>
      </c>
    </row>
    <row r="600" spans="1:10" x14ac:dyDescent="0.25">
      <c r="A600" s="10">
        <v>43729.645833333336</v>
      </c>
      <c r="B600" s="11" t="s">
        <v>8</v>
      </c>
      <c r="C600" s="11" t="s">
        <v>5</v>
      </c>
      <c r="D600" s="16" t="str">
        <f>HYPERLINK("https://freddywills.com/pick/7175/4-4-ncaaf-pod-goes-3-30pm-et-88-68-ats-career-during-this-week-of-football-guaranteed-or-b.html", "Buffalo +14.5 4.4% POD")</f>
        <v>Buffalo +14.5 4.4% POD</v>
      </c>
      <c r="E600" s="11">
        <v>4.4000000000000004</v>
      </c>
      <c r="F600" s="11">
        <v>-1.1000000000000001</v>
      </c>
      <c r="G600" s="11" t="s">
        <v>4</v>
      </c>
      <c r="H600" s="13">
        <v>4000</v>
      </c>
      <c r="I600" s="14">
        <f t="shared" si="20"/>
        <v>-0.18200000000000005</v>
      </c>
      <c r="J600" s="13">
        <f t="shared" si="21"/>
        <v>310049.86</v>
      </c>
    </row>
    <row r="601" spans="1:10" x14ac:dyDescent="0.25">
      <c r="A601" s="10">
        <v>43729.5</v>
      </c>
      <c r="B601" s="11" t="s">
        <v>8</v>
      </c>
      <c r="C601" s="11" t="s">
        <v>5</v>
      </c>
      <c r="D601" s="16" t="str">
        <f>HYPERLINK("https://freddywills.com/pick/7170/wisconsin-vs-michigan-big-ten-game-of-the-week-35-19-ats-run-on-3-plays.html", "Michigan +3.5 3.3% play ")</f>
        <v xml:space="preserve">Michigan +3.5 3.3% play </v>
      </c>
      <c r="E601" s="11">
        <v>3.3</v>
      </c>
      <c r="F601" s="11">
        <v>-1.1000000000000001</v>
      </c>
      <c r="G601" s="11" t="s">
        <v>6</v>
      </c>
      <c r="H601" s="13">
        <v>-3300</v>
      </c>
      <c r="I601" s="14">
        <f t="shared" si="20"/>
        <v>-0.22200000000000006</v>
      </c>
      <c r="J601" s="13">
        <f t="shared" si="21"/>
        <v>306049.86</v>
      </c>
    </row>
    <row r="602" spans="1:10" x14ac:dyDescent="0.25">
      <c r="A602" s="10">
        <v>43729.5</v>
      </c>
      <c r="B602" s="11" t="s">
        <v>8</v>
      </c>
      <c r="C602" s="11" t="s">
        <v>5</v>
      </c>
      <c r="D602" s="16" t="str">
        <f>HYPERLINK("https://freddywills.com/pick/7172/free-college-football-pick-62-41-l103-college-football-free-picks.html", "Syracuse -4.5 1.1% Free Play ")</f>
        <v xml:space="preserve">Syracuse -4.5 1.1% Free Play </v>
      </c>
      <c r="E602" s="11">
        <v>1.1000000000000001</v>
      </c>
      <c r="F602" s="11">
        <v>-1.1000000000000001</v>
      </c>
      <c r="G602" s="11" t="s">
        <v>4</v>
      </c>
      <c r="H602" s="13">
        <v>1000</v>
      </c>
      <c r="I602" s="14">
        <f t="shared" si="20"/>
        <v>-0.18900000000000006</v>
      </c>
      <c r="J602" s="13">
        <f t="shared" si="21"/>
        <v>309349.86</v>
      </c>
    </row>
    <row r="603" spans="1:10" x14ac:dyDescent="0.25">
      <c r="A603" s="10">
        <v>43728.875</v>
      </c>
      <c r="B603" s="11" t="s">
        <v>8</v>
      </c>
      <c r="C603" s="11" t="s">
        <v>5</v>
      </c>
      <c r="D603" s="16" t="str">
        <f>HYPERLINK("https://freddywills.com/pick/7173/4-play-friday-night-lights-utah-vs-usc-guaranteed-or-back.html", "Utah -3 buy 1/2 -125 4% play ")</f>
        <v xml:space="preserve">Utah -3 buy 1/2 -125 4% play </v>
      </c>
      <c r="E603" s="11">
        <v>4</v>
      </c>
      <c r="F603" s="11">
        <v>-1.25</v>
      </c>
      <c r="G603" s="11" t="s">
        <v>6</v>
      </c>
      <c r="H603" s="13">
        <v>-4000</v>
      </c>
      <c r="I603" s="14">
        <f t="shared" si="20"/>
        <v>-0.19900000000000007</v>
      </c>
      <c r="J603" s="13">
        <f t="shared" si="21"/>
        <v>308349.86</v>
      </c>
    </row>
    <row r="604" spans="1:10" x14ac:dyDescent="0.25">
      <c r="A604" s="10">
        <v>43728.875</v>
      </c>
      <c r="B604" s="11" t="s">
        <v>8</v>
      </c>
      <c r="C604" s="11" t="s">
        <v>5</v>
      </c>
      <c r="D604" s="16" t="str">
        <f>HYPERLINK("https://freddywills.com/pick/7174/air-force-vs-boise-state-guaranteed-or-back.html", "Air Force +7 2.2% play ")</f>
        <v xml:space="preserve">Air Force +7 2.2% play </v>
      </c>
      <c r="E604" s="11">
        <v>2.2000000000000002</v>
      </c>
      <c r="F604" s="11">
        <v>-1.1000000000000001</v>
      </c>
      <c r="G604" s="11" t="s">
        <v>6</v>
      </c>
      <c r="H604" s="13">
        <v>-2200</v>
      </c>
      <c r="I604" s="14">
        <f t="shared" si="20"/>
        <v>-0.15900000000000006</v>
      </c>
      <c r="J604" s="13">
        <f t="shared" si="21"/>
        <v>312349.86</v>
      </c>
    </row>
    <row r="605" spans="1:10" x14ac:dyDescent="0.25">
      <c r="A605" s="10">
        <v>43727.833333333336</v>
      </c>
      <c r="B605" s="11" t="s">
        <v>8</v>
      </c>
      <c r="C605" s="11" t="s">
        <v>5</v>
      </c>
      <c r="D605" s="16" t="str">
        <f>HYPERLINK("https://freddywills.com/pick/7167/thursday-night-action-tulane-vs-houston-guaranteed-or-back-62-47-l109-ncaaf-picks.html", "Houston +5 2.2% play")</f>
        <v>Houston +5 2.2% play</v>
      </c>
      <c r="E605" s="11">
        <v>2.2000000000000002</v>
      </c>
      <c r="F605" s="11">
        <v>-1.1000000000000001</v>
      </c>
      <c r="G605" s="11" t="s">
        <v>6</v>
      </c>
      <c r="H605" s="13">
        <v>-2200</v>
      </c>
      <c r="I605" s="14">
        <f t="shared" si="20"/>
        <v>-0.13700000000000007</v>
      </c>
      <c r="J605" s="13">
        <f t="shared" si="21"/>
        <v>314549.86</v>
      </c>
    </row>
    <row r="606" spans="1:10" x14ac:dyDescent="0.25">
      <c r="A606" s="10">
        <v>43723.684027777781</v>
      </c>
      <c r="B606" s="11" t="s">
        <v>2</v>
      </c>
      <c r="C606" s="11" t="s">
        <v>10</v>
      </c>
      <c r="D606" s="16" t="str">
        <f>HYPERLINK("https://freddywills.com/pick/7161/nfl-teaser-of-the-week-guaranteed-or-back-32-24-14-631-l-56-nfl-teasers.html", "Broncos +8.5 / Falcons +8 4.4% Teaser of the Week")</f>
        <v>Broncos +8.5 / Falcons +8 4.4% Teaser of the Week</v>
      </c>
      <c r="E606" s="11">
        <v>4.4000000000000004</v>
      </c>
      <c r="F606" s="11">
        <v>-1.1000000000000001</v>
      </c>
      <c r="G606" s="11" t="s">
        <v>4</v>
      </c>
      <c r="H606" s="13">
        <v>4000</v>
      </c>
      <c r="I606" s="14">
        <f t="shared" si="20"/>
        <v>-0.11500000000000007</v>
      </c>
      <c r="J606" s="13">
        <f t="shared" si="21"/>
        <v>316749.86</v>
      </c>
    </row>
    <row r="607" spans="1:10" x14ac:dyDescent="0.25">
      <c r="A607" s="10">
        <v>43723.684027777781</v>
      </c>
      <c r="B607" s="11" t="s">
        <v>2</v>
      </c>
      <c r="C607" s="11" t="s">
        <v>18</v>
      </c>
      <c r="D607" s="16" t="str">
        <f>HYPERLINK("https://freddywills.com/pick/7166/rams-vs-saints-113-79-l192-nfl-picks-in-september-guaranteed-or-back.html", "Rams -125 3% play ")</f>
        <v xml:space="preserve">Rams -125 3% play </v>
      </c>
      <c r="E607" s="11">
        <v>3</v>
      </c>
      <c r="F607" s="11">
        <v>-1.25</v>
      </c>
      <c r="G607" s="11" t="s">
        <v>4</v>
      </c>
      <c r="H607" s="13">
        <v>2400</v>
      </c>
      <c r="I607" s="14">
        <f t="shared" si="20"/>
        <v>-0.15500000000000008</v>
      </c>
      <c r="J607" s="13">
        <f t="shared" si="21"/>
        <v>312749.86</v>
      </c>
    </row>
    <row r="608" spans="1:10" x14ac:dyDescent="0.25">
      <c r="A608" s="10">
        <v>43723.541666666664</v>
      </c>
      <c r="B608" s="11" t="s">
        <v>2</v>
      </c>
      <c r="C608" s="11" t="s">
        <v>5</v>
      </c>
      <c r="D608" s="16" t="str">
        <f>HYPERLINK("https://freddywills.com/pick/7162/3-3-nfl-pick-steelers-vs-seahawks-35-17-ats-career-10-seasons-in-week-2-guaranteed-or-bac.html", "Steelers -3.5 3.3% play ")</f>
        <v xml:space="preserve">Steelers -3.5 3.3% play </v>
      </c>
      <c r="E608" s="11">
        <v>3.3</v>
      </c>
      <c r="F608" s="11">
        <v>-1.1000000000000001</v>
      </c>
      <c r="G608" s="11" t="s">
        <v>6</v>
      </c>
      <c r="H608" s="13">
        <v>-3300</v>
      </c>
      <c r="I608" s="14">
        <f t="shared" si="20"/>
        <v>-0.17900000000000008</v>
      </c>
      <c r="J608" s="13">
        <f t="shared" si="21"/>
        <v>310349.86</v>
      </c>
    </row>
    <row r="609" spans="1:10" x14ac:dyDescent="0.25">
      <c r="A609" s="10">
        <v>43723.541666666664</v>
      </c>
      <c r="B609" s="11" t="s">
        <v>2</v>
      </c>
      <c r="C609" s="11" t="s">
        <v>5</v>
      </c>
      <c r="D609" s="16" t="str">
        <f>HYPERLINK("https://freddywills.com/pick/7163/5-5-nfl-pod-guaranteed-or-back-35-17-ats-career-week-2-nfl-over-10-seasons-46-27-63-l73-ma.html", "Lions +1.5 5.5% NFL POD")</f>
        <v>Lions +1.5 5.5% NFL POD</v>
      </c>
      <c r="E609" s="11">
        <v>5.5</v>
      </c>
      <c r="F609" s="11">
        <v>-1.1000000000000001</v>
      </c>
      <c r="G609" s="11" t="s">
        <v>4</v>
      </c>
      <c r="H609" s="13">
        <v>5000</v>
      </c>
      <c r="I609" s="14">
        <f t="shared" si="20"/>
        <v>-0.14600000000000007</v>
      </c>
      <c r="J609" s="13">
        <f t="shared" si="21"/>
        <v>313649.86</v>
      </c>
    </row>
    <row r="610" spans="1:10" x14ac:dyDescent="0.25">
      <c r="A610" s="10">
        <v>43723.541666666664</v>
      </c>
      <c r="B610" s="11" t="s">
        <v>2</v>
      </c>
      <c r="C610" s="11" t="s">
        <v>5</v>
      </c>
      <c r="D610" s="16" t="str">
        <f>HYPERLINK("https://freddywills.com/pick/7165/113-79-ats-run-on-nfl-picks-in-september-108-roi-colts-vs-titans-pick.html", "Colts +3.5 2.2% play ")</f>
        <v xml:space="preserve">Colts +3.5 2.2% play </v>
      </c>
      <c r="E610" s="11">
        <v>2.2000000000000002</v>
      </c>
      <c r="F610" s="11">
        <v>-1.1000000000000001</v>
      </c>
      <c r="G610" s="11" t="s">
        <v>4</v>
      </c>
      <c r="H610" s="13">
        <v>2000</v>
      </c>
      <c r="I610" s="14">
        <f t="shared" si="20"/>
        <v>-0.19600000000000006</v>
      </c>
      <c r="J610" s="13">
        <f t="shared" si="21"/>
        <v>308649.86</v>
      </c>
    </row>
    <row r="611" spans="1:10" x14ac:dyDescent="0.25">
      <c r="A611" s="10">
        <v>43722.8125</v>
      </c>
      <c r="B611" s="11" t="s">
        <v>8</v>
      </c>
      <c r="C611" s="11" t="s">
        <v>5</v>
      </c>
      <c r="D611" s="16" t="str">
        <f>HYPERLINK("https://freddywills.com/pick/7160/theacc-game-of-the-week-fsufootball-uvafootball-58-35-ats-over-10-years-during-week-3-only-1.html", "Florida State +7.5 2.2% play ")</f>
        <v xml:space="preserve">Florida State +7.5 2.2% play </v>
      </c>
      <c r="E611" s="11">
        <v>2.2000000000000002</v>
      </c>
      <c r="F611" s="11">
        <v>-1.1000000000000001</v>
      </c>
      <c r="G611" s="11" t="s">
        <v>4</v>
      </c>
      <c r="H611" s="13">
        <v>2000</v>
      </c>
      <c r="I611" s="14">
        <f t="shared" si="20"/>
        <v>-0.21600000000000005</v>
      </c>
      <c r="J611" s="13">
        <f t="shared" si="21"/>
        <v>306649.86</v>
      </c>
    </row>
    <row r="612" spans="1:10" x14ac:dyDescent="0.25">
      <c r="A612" s="10">
        <v>43722.791666666664</v>
      </c>
      <c r="B612" s="11" t="s">
        <v>8</v>
      </c>
      <c r="C612" s="11" t="s">
        <v>5</v>
      </c>
      <c r="D612" s="16" t="str">
        <f>HYPERLINK("https://freddywills.com/pick/7159/62-40-ats-l-102-free-college-picks-get-it-now.html", "Texas State +17.5 1.1% Play - Grab This week's promo package NFL+CFB Guaranteed Profit or 2 weeks free! ")</f>
        <v xml:space="preserve">Texas State +17.5 1.1% Play - Grab This week's promo package NFL+CFB Guaranteed Profit or 2 weeks free! </v>
      </c>
      <c r="E612" s="11">
        <v>1.1000000000000001</v>
      </c>
      <c r="F612" s="11">
        <v>-1.1000000000000001</v>
      </c>
      <c r="G612" s="11" t="s">
        <v>6</v>
      </c>
      <c r="H612" s="13">
        <v>-1100</v>
      </c>
      <c r="I612" s="14">
        <f t="shared" si="20"/>
        <v>-0.23600000000000004</v>
      </c>
      <c r="J612" s="13">
        <f t="shared" si="21"/>
        <v>304649.86</v>
      </c>
    </row>
    <row r="613" spans="1:10" x14ac:dyDescent="0.25">
      <c r="A613" s="10">
        <v>43722.666666666664</v>
      </c>
      <c r="B613" s="11" t="s">
        <v>8</v>
      </c>
      <c r="C613" s="11" t="s">
        <v>18</v>
      </c>
      <c r="D613" s="16" t="str">
        <f>HYPERLINK("https://freddywills.com/pick/7155/5-ncaaf-pod-guaranteed-or-back-first-5-play-of-the-year.html", "Iowa State +108 5% POD")</f>
        <v>Iowa State +108 5% POD</v>
      </c>
      <c r="E613" s="11">
        <v>5</v>
      </c>
      <c r="F613" s="11">
        <v>-1.1000000000000001</v>
      </c>
      <c r="G613" s="11" t="s">
        <v>6</v>
      </c>
      <c r="H613" s="13">
        <v>-5000</v>
      </c>
      <c r="I613" s="14">
        <f t="shared" si="20"/>
        <v>-0.22500000000000003</v>
      </c>
      <c r="J613" s="13">
        <f t="shared" si="21"/>
        <v>305749.86</v>
      </c>
    </row>
    <row r="614" spans="1:10" x14ac:dyDescent="0.25">
      <c r="A614" s="10">
        <v>43722.645833333336</v>
      </c>
      <c r="B614" s="11" t="s">
        <v>8</v>
      </c>
      <c r="C614" s="11" t="s">
        <v>5</v>
      </c>
      <c r="D614" s="16" t="str">
        <f>HYPERLINK("https://freddywills.com/pick/7158/byufootball-vs-uscfootball-guaranteed-or-back-58-35-ats-career-week-3.html", "BYU +4.5 3.3% PLAY ")</f>
        <v xml:space="preserve">BYU +4.5 3.3% PLAY </v>
      </c>
      <c r="E614" s="11">
        <v>3.3</v>
      </c>
      <c r="F614" s="11">
        <v>-1.1000000000000001</v>
      </c>
      <c r="G614" s="11" t="s">
        <v>4</v>
      </c>
      <c r="H614" s="13">
        <v>3000</v>
      </c>
      <c r="I614" s="14">
        <f t="shared" si="20"/>
        <v>-0.17500000000000002</v>
      </c>
      <c r="J614" s="13">
        <f t="shared" si="21"/>
        <v>310749.86</v>
      </c>
    </row>
    <row r="615" spans="1:10" x14ac:dyDescent="0.25">
      <c r="A615" s="10">
        <v>43722.541666666664</v>
      </c>
      <c r="B615" s="11" t="s">
        <v>8</v>
      </c>
      <c r="C615" s="11" t="s">
        <v>5</v>
      </c>
      <c r="D615" s="16" t="str">
        <f>HYPERLINK("https://freddywills.com/pick/7157/3-3-upset-alert-guaranteed-or-back-58-35-ats-career-in-week-3-in-college.html", "Air Force +3.5 3.3% play ")</f>
        <v xml:space="preserve">Air Force +3.5 3.3% play </v>
      </c>
      <c r="E615" s="11">
        <v>3.3</v>
      </c>
      <c r="F615" s="11">
        <v>-1.1000000000000001</v>
      </c>
      <c r="G615" s="11" t="s">
        <v>4</v>
      </c>
      <c r="H615" s="13">
        <v>3000</v>
      </c>
      <c r="I615" s="14">
        <f t="shared" si="20"/>
        <v>-0.20500000000000002</v>
      </c>
      <c r="J615" s="13">
        <f t="shared" si="21"/>
        <v>307749.86</v>
      </c>
    </row>
    <row r="616" spans="1:10" x14ac:dyDescent="0.25">
      <c r="A616" s="10">
        <v>43722.5</v>
      </c>
      <c r="B616" s="11" t="s">
        <v>8</v>
      </c>
      <c r="C616" s="11" t="s">
        <v>5</v>
      </c>
      <c r="D616" s="16" t="str">
        <f>HYPERLINK("https://freddywills.com/pick/7156/week-3-premium-newsletter-pick-21-12-1-ats-32-04-roi-pittvspennst.html", "Pittsburgh +17.5 2.2% play ")</f>
        <v xml:space="preserve">Pittsburgh +17.5 2.2% play </v>
      </c>
      <c r="E616" s="11">
        <v>2.2000000000000002</v>
      </c>
      <c r="F616" s="11">
        <v>-1.1000000000000001</v>
      </c>
      <c r="G616" s="11" t="s">
        <v>4</v>
      </c>
      <c r="H616" s="13">
        <v>2000</v>
      </c>
      <c r="I616" s="14">
        <f t="shared" si="20"/>
        <v>-0.23500000000000001</v>
      </c>
      <c r="J616" s="13">
        <f t="shared" si="21"/>
        <v>304749.86</v>
      </c>
    </row>
    <row r="617" spans="1:10" x14ac:dyDescent="0.25">
      <c r="A617" s="10">
        <v>43721.885416666664</v>
      </c>
      <c r="B617" s="11" t="s">
        <v>8</v>
      </c>
      <c r="C617" s="11" t="s">
        <v>5</v>
      </c>
      <c r="D617" s="16" t="str">
        <f>HYPERLINK("https://freddywills.com/pick/7164/friday-night-lights-guaranteed-or-back-houston-vs-washington-state.html", "Houston +9 2.2% play ")</f>
        <v xml:space="preserve">Houston +9 2.2% play </v>
      </c>
      <c r="E617" s="11">
        <v>2.2000000000000002</v>
      </c>
      <c r="F617" s="11">
        <v>-1.1000000000000001</v>
      </c>
      <c r="G617" s="11" t="s">
        <v>4</v>
      </c>
      <c r="H617" s="13">
        <v>2000</v>
      </c>
      <c r="I617" s="14">
        <f t="shared" si="20"/>
        <v>-0.255</v>
      </c>
      <c r="J617" s="13">
        <f t="shared" si="21"/>
        <v>302749.86</v>
      </c>
    </row>
    <row r="618" spans="1:10" x14ac:dyDescent="0.25">
      <c r="A618" s="10">
        <v>43716.847222222219</v>
      </c>
      <c r="B618" s="11" t="s">
        <v>2</v>
      </c>
      <c r="C618" s="11" t="s">
        <v>5</v>
      </c>
      <c r="D618" s="16" t="str">
        <f>HYPERLINK("https://freddywills.com/pick/7153/steelers-vs-patriots-3-3-play-guaranteed-or-back-113-roi-in-september-nfl-picks-since-20.html", "Steelers +6 3.3% play ")</f>
        <v xml:space="preserve">Steelers +6 3.3% play </v>
      </c>
      <c r="E618" s="11">
        <v>3.3</v>
      </c>
      <c r="F618" s="11">
        <v>-1.1000000000000001</v>
      </c>
      <c r="G618" s="11" t="s">
        <v>6</v>
      </c>
      <c r="H618" s="13">
        <v>-3300</v>
      </c>
      <c r="I618" s="14">
        <f t="shared" si="20"/>
        <v>-0.27500000000000002</v>
      </c>
      <c r="J618" s="13">
        <f t="shared" si="21"/>
        <v>300749.86</v>
      </c>
    </row>
    <row r="619" spans="1:10" x14ac:dyDescent="0.25">
      <c r="A619" s="10">
        <v>43716.684027777781</v>
      </c>
      <c r="B619" s="11" t="s">
        <v>2</v>
      </c>
      <c r="C619" s="11" t="s">
        <v>10</v>
      </c>
      <c r="D619" s="16" t="str">
        <f>HYPERLINK("https://freddywills.com/pick/7154/nfl-teaser-of-the-week-87-63-l150-sport-teasers-62-roi.html", "Cowboys -1 / Saints -1 3.3% Teaser")</f>
        <v>Cowboys -1 / Saints -1 3.3% Teaser</v>
      </c>
      <c r="E619" s="11">
        <v>3.3</v>
      </c>
      <c r="F619" s="11">
        <v>-1.1000000000000001</v>
      </c>
      <c r="G619" s="11" t="s">
        <v>4</v>
      </c>
      <c r="H619" s="13">
        <v>3000</v>
      </c>
      <c r="I619" s="14">
        <f t="shared" si="20"/>
        <v>-0.24200000000000002</v>
      </c>
      <c r="J619" s="13">
        <f t="shared" si="21"/>
        <v>304049.86</v>
      </c>
    </row>
    <row r="620" spans="1:10" x14ac:dyDescent="0.25">
      <c r="A620" s="10">
        <v>43716.670138888891</v>
      </c>
      <c r="B620" s="11" t="s">
        <v>2</v>
      </c>
      <c r="C620" s="11" t="s">
        <v>5</v>
      </c>
      <c r="D620" s="16" t="str">
        <f>HYPERLINK("https://freddywills.com/pick/7152/3-3-nfl-pick-44-30-ats-run-on-3-nfl-plays-45-1-roi-guaranteed-or-back-coltsvschargers.html", "Colts +6.5 3.3% play ")</f>
        <v xml:space="preserve">Colts +6.5 3.3% play </v>
      </c>
      <c r="E620" s="11">
        <v>3.3</v>
      </c>
      <c r="F620" s="11">
        <v>-1.1000000000000001</v>
      </c>
      <c r="G620" s="11" t="s">
        <v>4</v>
      </c>
      <c r="H620" s="13">
        <v>3000</v>
      </c>
      <c r="I620" s="14">
        <f t="shared" si="20"/>
        <v>-0.27200000000000002</v>
      </c>
      <c r="J620" s="13">
        <f t="shared" si="21"/>
        <v>301049.86</v>
      </c>
    </row>
    <row r="621" spans="1:10" x14ac:dyDescent="0.25">
      <c r="A621" s="10">
        <v>43716.541666666664</v>
      </c>
      <c r="B621" s="11" t="s">
        <v>2</v>
      </c>
      <c r="C621" s="11" t="s">
        <v>5</v>
      </c>
      <c r="D621" s="16" t="str">
        <f>HYPERLINK("https://freddywills.com/pick/7149/47-24-ats-last-71-free-nfl-picks-dolphins-vs-ravens.html", "Dolphins +7 1.1% Free Play ")</f>
        <v xml:space="preserve">Dolphins +7 1.1% Free Play </v>
      </c>
      <c r="E621" s="11">
        <v>1.1000000000000001</v>
      </c>
      <c r="F621" s="11">
        <v>-1.1000000000000001</v>
      </c>
      <c r="G621" s="11" t="s">
        <v>6</v>
      </c>
      <c r="H621" s="13">
        <v>-1100</v>
      </c>
      <c r="I621" s="14">
        <f t="shared" si="20"/>
        <v>-0.30200000000000005</v>
      </c>
      <c r="J621" s="13">
        <f t="shared" si="21"/>
        <v>298049.86</v>
      </c>
    </row>
    <row r="622" spans="1:10" x14ac:dyDescent="0.25">
      <c r="A622" s="10">
        <v>43716.541666666664</v>
      </c>
      <c r="B622" s="11" t="s">
        <v>2</v>
      </c>
      <c r="C622" s="11" t="s">
        <v>7</v>
      </c>
      <c r="D622" s="16" t="str">
        <f>HYPERLINK("https://freddywills.com/pick/7150/nfl-total-of-the-week-tampa-vs-san-francisco-guaranteed-or-back.html", "Tampa/SF Over 51 2.2% play ")</f>
        <v xml:space="preserve">Tampa/SF Over 51 2.2% play </v>
      </c>
      <c r="E622" s="11">
        <v>2.2000000000000002</v>
      </c>
      <c r="F622" s="11">
        <v>-1.1000000000000001</v>
      </c>
      <c r="G622" s="11" t="s">
        <v>6</v>
      </c>
      <c r="H622" s="13">
        <v>-2200</v>
      </c>
      <c r="I622" s="14">
        <f t="shared" si="20"/>
        <v>-0.29100000000000004</v>
      </c>
      <c r="J622" s="13">
        <f t="shared" si="21"/>
        <v>299149.86</v>
      </c>
    </row>
    <row r="623" spans="1:10" x14ac:dyDescent="0.25">
      <c r="A623" s="10">
        <v>43716.541666666664</v>
      </c>
      <c r="B623" s="11" t="s">
        <v>2</v>
      </c>
      <c r="C623" s="11" t="s">
        <v>5</v>
      </c>
      <c r="D623" s="16" t="str">
        <f>HYPERLINK("https://freddywills.com/pick/7151/nfl-play-of-the-day-55-roi-last-year-in-nfl-113-roi-career-in-nfl-picks-in-september.html", "Panthers +2 4.4% NFL POD")</f>
        <v>Panthers +2 4.4% NFL POD</v>
      </c>
      <c r="E623" s="11">
        <v>4.4000000000000004</v>
      </c>
      <c r="F623" s="11">
        <v>-1.1000000000000001</v>
      </c>
      <c r="G623" s="11" t="s">
        <v>6</v>
      </c>
      <c r="H623" s="13">
        <v>-4400</v>
      </c>
      <c r="I623" s="14">
        <f t="shared" si="20"/>
        <v>-0.26900000000000002</v>
      </c>
      <c r="J623" s="13">
        <f t="shared" si="21"/>
        <v>301349.86</v>
      </c>
    </row>
    <row r="624" spans="1:10" x14ac:dyDescent="0.25">
      <c r="A624" s="10">
        <v>43715.9375</v>
      </c>
      <c r="B624" s="11" t="s">
        <v>8</v>
      </c>
      <c r="C624" s="11" t="s">
        <v>5</v>
      </c>
      <c r="D624" s="16" t="str">
        <f>HYPERLINK("https://freddywills.com/pick/7144/premium-newsletter-play-3-3-play-guaranteed-or-back-21-12-ats-career-32-roi.html", "Minnesota -3 3.3% NCAAF play")</f>
        <v>Minnesota -3 3.3% NCAAF play</v>
      </c>
      <c r="E624" s="11">
        <v>3.3</v>
      </c>
      <c r="F624" s="11">
        <v>-1.1000000000000001</v>
      </c>
      <c r="G624" s="11" t="s">
        <v>9</v>
      </c>
      <c r="H624" s="13">
        <v>0</v>
      </c>
      <c r="I624" s="14">
        <f t="shared" si="20"/>
        <v>-0.22500000000000001</v>
      </c>
      <c r="J624" s="13">
        <f t="shared" si="21"/>
        <v>305749.86</v>
      </c>
    </row>
    <row r="625" spans="1:10" x14ac:dyDescent="0.25">
      <c r="A625" s="10">
        <v>43715.8125</v>
      </c>
      <c r="B625" s="11" t="s">
        <v>8</v>
      </c>
      <c r="C625" s="11" t="s">
        <v>5</v>
      </c>
      <c r="D625" s="16" t="str">
        <f>HYPERLINK("https://freddywills.com/pick/7148/game-of-the-week-texasfootball-vs-lsufootball-guaranteed-or-back.html", "Texas +6.5 3.3% play ")</f>
        <v xml:space="preserve">Texas +6.5 3.3% play </v>
      </c>
      <c r="E625" s="11">
        <v>3.3</v>
      </c>
      <c r="F625" s="11">
        <v>1</v>
      </c>
      <c r="G625" s="11" t="s">
        <v>6</v>
      </c>
      <c r="H625" s="13">
        <v>-3300</v>
      </c>
      <c r="I625" s="14">
        <f t="shared" si="20"/>
        <v>-0.22500000000000001</v>
      </c>
      <c r="J625" s="13">
        <f t="shared" si="21"/>
        <v>305749.86</v>
      </c>
    </row>
    <row r="626" spans="1:10" x14ac:dyDescent="0.25">
      <c r="A626" s="10">
        <v>43715.791666666664</v>
      </c>
      <c r="B626" s="11" t="s">
        <v>8</v>
      </c>
      <c r="C626" s="11" t="s">
        <v>5</v>
      </c>
      <c r="D626" s="16" t="str">
        <f>HYPERLINK("https://freddywills.com/pick/7145/4-4-ncaaf-pod-188-140-ats-l328-4-plays-dates-to-2011-guaranteed-or-back.html", "Texas State +7 4.4% NCAAF POD")</f>
        <v>Texas State +7 4.4% NCAAF POD</v>
      </c>
      <c r="E626" s="11">
        <v>4.4000000000000004</v>
      </c>
      <c r="F626" s="11">
        <v>-1.1000000000000001</v>
      </c>
      <c r="G626" s="11" t="s">
        <v>6</v>
      </c>
      <c r="H626" s="13">
        <v>-4400</v>
      </c>
      <c r="I626" s="14">
        <f t="shared" si="20"/>
        <v>-0.192</v>
      </c>
      <c r="J626" s="13">
        <f t="shared" si="21"/>
        <v>309049.86</v>
      </c>
    </row>
    <row r="627" spans="1:10" x14ac:dyDescent="0.25">
      <c r="A627" s="10">
        <v>43715.666666666664</v>
      </c>
      <c r="B627" s="11" t="s">
        <v>8</v>
      </c>
      <c r="C627" s="11" t="s">
        <v>7</v>
      </c>
      <c r="D627" s="16" t="str">
        <f>HYPERLINK("https://freddywills.com/pick/7146/total-of-the-week-guaranteed-or-back.html", "Baylor/UTSA Over 57.5 2.2% play ")</f>
        <v xml:space="preserve">Baylor/UTSA Over 57.5 2.2% play </v>
      </c>
      <c r="E627" s="11">
        <v>2.2000000000000002</v>
      </c>
      <c r="F627" s="11">
        <v>-1.1000000000000001</v>
      </c>
      <c r="G627" s="11" t="s">
        <v>4</v>
      </c>
      <c r="H627" s="13">
        <v>2000</v>
      </c>
      <c r="I627" s="14">
        <f t="shared" si="20"/>
        <v>-0.14799999999999999</v>
      </c>
      <c r="J627" s="13">
        <f t="shared" si="21"/>
        <v>313449.86</v>
      </c>
    </row>
    <row r="628" spans="1:10" x14ac:dyDescent="0.25">
      <c r="A628" s="10">
        <v>43715.645833333336</v>
      </c>
      <c r="B628" s="11" t="s">
        <v>8</v>
      </c>
      <c r="C628" s="11" t="s">
        <v>5</v>
      </c>
      <c r="D628" s="16" t="str">
        <f>HYPERLINK("https://freddywills.com/pick/7143/saturday-s-collegefootball-free-play-61-40-ats-l101-ncaaf-free-pick-s.html", "Connecticut +21.5 1.1% Free Play")</f>
        <v>Connecticut +21.5 1.1% Free Play</v>
      </c>
      <c r="E628" s="11">
        <v>1.1000000000000001</v>
      </c>
      <c r="F628" s="11">
        <v>-1.1000000000000001</v>
      </c>
      <c r="G628" s="11" t="s">
        <v>4</v>
      </c>
      <c r="H628" s="13">
        <v>1000</v>
      </c>
      <c r="I628" s="14">
        <f t="shared" si="20"/>
        <v>-0.16799999999999998</v>
      </c>
      <c r="J628" s="13">
        <f t="shared" si="21"/>
        <v>311449.86</v>
      </c>
    </row>
    <row r="629" spans="1:10" x14ac:dyDescent="0.25">
      <c r="A629" s="10">
        <v>43715.5</v>
      </c>
      <c r="B629" s="11" t="s">
        <v>8</v>
      </c>
      <c r="C629" s="11" t="s">
        <v>5</v>
      </c>
      <c r="D629" s="16" t="str">
        <f>HYPERLINK("https://freddywills.com/pick/7141/west-virginia-vs-missouri-guaranteed-or-back.html", "West Virginia +14 2.2% play ")</f>
        <v xml:space="preserve">West Virginia +14 2.2% play </v>
      </c>
      <c r="E629" s="11">
        <v>2.2000000000000002</v>
      </c>
      <c r="F629" s="11">
        <v>-1.1000000000000001</v>
      </c>
      <c r="G629" s="11" t="s">
        <v>6</v>
      </c>
      <c r="H629" s="13">
        <v>-2200</v>
      </c>
      <c r="I629" s="14">
        <f t="shared" si="20"/>
        <v>-0.17799999999999999</v>
      </c>
      <c r="J629" s="13">
        <f t="shared" si="21"/>
        <v>310449.86</v>
      </c>
    </row>
    <row r="630" spans="1:10" x14ac:dyDescent="0.25">
      <c r="A630" s="10">
        <v>43715.5</v>
      </c>
      <c r="B630" s="11" t="s">
        <v>8</v>
      </c>
      <c r="C630" s="11" t="s">
        <v>5</v>
      </c>
      <c r="D630" s="16" t="str">
        <f>HYPERLINK("https://freddywills.com/pick/7142/cusefootball-vs-terpsfootball-guaranteed-or-back.html", "Syracuse +1.5 2.2% play ")</f>
        <v xml:space="preserve">Syracuse +1.5 2.2% play </v>
      </c>
      <c r="E630" s="11">
        <v>2.2000000000000002</v>
      </c>
      <c r="F630" s="11">
        <v>-1.1000000000000001</v>
      </c>
      <c r="G630" s="11" t="s">
        <v>6</v>
      </c>
      <c r="H630" s="13">
        <v>-2200</v>
      </c>
      <c r="I630" s="14">
        <f t="shared" si="20"/>
        <v>-0.156</v>
      </c>
      <c r="J630" s="13">
        <f t="shared" si="21"/>
        <v>312649.86</v>
      </c>
    </row>
    <row r="631" spans="1:10" x14ac:dyDescent="0.25">
      <c r="A631" s="10">
        <v>43715.458333333336</v>
      </c>
      <c r="B631" s="11" t="s">
        <v>8</v>
      </c>
      <c r="C631" s="11" t="s">
        <v>5</v>
      </c>
      <c r="D631" s="16" t="str">
        <f>HYPERLINK("https://freddywills.com/pick/7140/early-early-college-football-special-pitt-fb-vs-ohiofotoball-guaranteed-or-money-back.html", "Pitt -4 2.2% play ")</f>
        <v xml:space="preserve">Pitt -4 2.2% play </v>
      </c>
      <c r="E631" s="11">
        <v>2.2000000000000002</v>
      </c>
      <c r="F631" s="11">
        <v>-1.1000000000000001</v>
      </c>
      <c r="G631" s="11" t="s">
        <v>4</v>
      </c>
      <c r="H631" s="13">
        <v>2000</v>
      </c>
      <c r="I631" s="14">
        <f t="shared" si="20"/>
        <v>-0.13400000000000001</v>
      </c>
      <c r="J631" s="13">
        <f t="shared" si="21"/>
        <v>314849.86</v>
      </c>
    </row>
    <row r="632" spans="1:10" x14ac:dyDescent="0.25">
      <c r="A632" s="10">
        <v>43714.875</v>
      </c>
      <c r="B632" s="11" t="s">
        <v>8</v>
      </c>
      <c r="C632" s="11" t="s">
        <v>5</v>
      </c>
      <c r="D632" s="16" t="str">
        <f>HYPERLINK("https://freddywills.com/pick/7147/friday-night-lights-guaranteed-or-back.html", "Marshall +13 2.2% ")</f>
        <v xml:space="preserve">Marshall +13 2.2% </v>
      </c>
      <c r="E632" s="11">
        <v>2.2000000000000002</v>
      </c>
      <c r="F632" s="11">
        <v>-1.1000000000000001</v>
      </c>
      <c r="G632" s="11" t="s">
        <v>4</v>
      </c>
      <c r="H632" s="13">
        <v>2000</v>
      </c>
      <c r="I632" s="14">
        <f t="shared" si="20"/>
        <v>-0.154</v>
      </c>
      <c r="J632" s="13">
        <f t="shared" si="21"/>
        <v>312849.86</v>
      </c>
    </row>
    <row r="633" spans="1:10" x14ac:dyDescent="0.25">
      <c r="A633" s="10">
        <v>43710.833333333336</v>
      </c>
      <c r="B633" s="11" t="s">
        <v>8</v>
      </c>
      <c r="C633" s="11" t="s">
        <v>5</v>
      </c>
      <c r="D633" s="16" t="str">
        <f>HYPERLINK("https://freddywills.com/pick/7139/notredame-vs-louisville-guaranteed-or-back-2-2-play.html", "Louisville +19 2.2% play ")</f>
        <v xml:space="preserve">Louisville +19 2.2% play </v>
      </c>
      <c r="E633" s="11">
        <v>2.2000000000000002</v>
      </c>
      <c r="F633" s="11">
        <v>-1.1000000000000001</v>
      </c>
      <c r="G633" s="11" t="s">
        <v>4</v>
      </c>
      <c r="H633" s="13">
        <v>2000</v>
      </c>
      <c r="I633" s="14">
        <f t="shared" si="20"/>
        <v>-0.17399999999999999</v>
      </c>
      <c r="J633" s="13">
        <f t="shared" si="21"/>
        <v>310849.86</v>
      </c>
    </row>
    <row r="634" spans="1:10" x14ac:dyDescent="0.25">
      <c r="A634" s="10">
        <v>43708.833333333336</v>
      </c>
      <c r="B634" s="11" t="s">
        <v>8</v>
      </c>
      <c r="C634" s="11" t="s">
        <v>5</v>
      </c>
      <c r="D634" s="16" t="str">
        <f>HYPERLINK("https://freddywills.com/pick/7134/texasfootball-vs-latechfb-3-3-play-32-15-ats-l47-ncaaf-plays-guaranteed-or-back.html", "LA TECH +20.5 3.3% PLAY")</f>
        <v>LA TECH +20.5 3.3% PLAY</v>
      </c>
      <c r="E634" s="11">
        <v>3.3</v>
      </c>
      <c r="F634" s="11">
        <v>-1.1000000000000001</v>
      </c>
      <c r="G634" s="11" t="s">
        <v>6</v>
      </c>
      <c r="H634" s="13">
        <v>-3300</v>
      </c>
      <c r="I634" s="14">
        <f t="shared" si="20"/>
        <v>-0.19399999999999998</v>
      </c>
      <c r="J634" s="13">
        <f t="shared" si="21"/>
        <v>308849.86</v>
      </c>
    </row>
    <row r="635" spans="1:10" x14ac:dyDescent="0.25">
      <c r="A635" s="10">
        <v>43708.645833333336</v>
      </c>
      <c r="B635" s="11" t="s">
        <v>8</v>
      </c>
      <c r="C635" s="11" t="s">
        <v>5</v>
      </c>
      <c r="D635" s="16" t="str">
        <f>HYPERLINK("https://freddywills.com/pick/7135/4-4-ncaaf-pod-guaranteed-or-back-17-11-run-on-4-ncaaf-picks-135-roi-l327.html", "Coastal Carolina +6 4.4% NCAAF POD")</f>
        <v>Coastal Carolina +6 4.4% NCAAF POD</v>
      </c>
      <c r="E635" s="11">
        <v>4.4000000000000004</v>
      </c>
      <c r="F635" s="11">
        <v>-1.1000000000000001</v>
      </c>
      <c r="G635" s="11" t="s">
        <v>6</v>
      </c>
      <c r="H635" s="13">
        <v>-4400</v>
      </c>
      <c r="I635" s="14">
        <f t="shared" si="20"/>
        <v>-0.16099999999999998</v>
      </c>
      <c r="J635" s="13">
        <f t="shared" si="21"/>
        <v>312149.86</v>
      </c>
    </row>
    <row r="636" spans="1:10" x14ac:dyDescent="0.25">
      <c r="A636" s="10">
        <v>43708.645833333336</v>
      </c>
      <c r="B636" s="11" t="s">
        <v>8</v>
      </c>
      <c r="C636" s="11" t="s">
        <v>5</v>
      </c>
      <c r="D636" s="16" t="str">
        <f>HYPERLINK("https://freddywills.com/pick/7136/dukefootball-vs-alabamaftbl-guaranteed-or-back-11-4-run-on-college-football-58-l100.html", "Duke +32.5 2.2% play ")</f>
        <v xml:space="preserve">Duke +32.5 2.2% play </v>
      </c>
      <c r="E636" s="11">
        <v>2.2000000000000002</v>
      </c>
      <c r="F636" s="11">
        <v>-1.1000000000000001</v>
      </c>
      <c r="G636" s="11" t="s">
        <v>6</v>
      </c>
      <c r="H636" s="13">
        <v>-2200</v>
      </c>
      <c r="I636" s="14">
        <f t="shared" si="20"/>
        <v>-0.11699999999999999</v>
      </c>
      <c r="J636" s="13">
        <f t="shared" si="21"/>
        <v>316549.86</v>
      </c>
    </row>
    <row r="637" spans="1:10" x14ac:dyDescent="0.25">
      <c r="A637" s="10">
        <v>43708.5</v>
      </c>
      <c r="B637" s="11" t="s">
        <v>8</v>
      </c>
      <c r="C637" s="11" t="s">
        <v>10</v>
      </c>
      <c r="D637" s="16" t="str">
        <f>HYPERLINK("https://freddywills.com/pick/7131/teaser-of-the-week-42-28-46-2-roi-last-70-college-football-teasers-guaranteed-or-back.html", "Pitt +8.5 / Florida State -0.5 3.3% Teaser")</f>
        <v>Pitt +8.5 / Florida State -0.5 3.3% Teaser</v>
      </c>
      <c r="E637" s="11">
        <v>3.3</v>
      </c>
      <c r="F637" s="11">
        <v>-1.1000000000000001</v>
      </c>
      <c r="G637" s="11" t="s">
        <v>6</v>
      </c>
      <c r="H637" s="13">
        <v>-3300</v>
      </c>
      <c r="I637" s="14">
        <f t="shared" si="20"/>
        <v>-9.5000000000000001E-2</v>
      </c>
      <c r="J637" s="13">
        <f t="shared" si="21"/>
        <v>318749.86</v>
      </c>
    </row>
    <row r="638" spans="1:10" x14ac:dyDescent="0.25">
      <c r="A638" s="10">
        <v>43708.5</v>
      </c>
      <c r="B638" s="11" t="s">
        <v>8</v>
      </c>
      <c r="C638" s="11" t="s">
        <v>5</v>
      </c>
      <c r="D638" s="16" t="str">
        <f>HYPERLINK("https://freddywills.com/pick/7137/1-1-free-collegefootball-play-under-the-radar-terpsfootball-vs-howardu-64-ats-l50-free-col.html", "Howard +30 1.1% Free Play")</f>
        <v>Howard +30 1.1% Free Play</v>
      </c>
      <c r="E638" s="11">
        <v>1.1000000000000001</v>
      </c>
      <c r="F638" s="11">
        <v>-1.1000000000000001</v>
      </c>
      <c r="G638" s="11" t="s">
        <v>6</v>
      </c>
      <c r="H638" s="13">
        <v>-1100</v>
      </c>
      <c r="I638" s="14">
        <f t="shared" si="20"/>
        <v>-6.2E-2</v>
      </c>
      <c r="J638" s="13">
        <f t="shared" si="21"/>
        <v>322049.86</v>
      </c>
    </row>
    <row r="639" spans="1:10" x14ac:dyDescent="0.25">
      <c r="A639" s="10">
        <v>43708.5</v>
      </c>
      <c r="B639" s="11" t="s">
        <v>8</v>
      </c>
      <c r="C639" s="11" t="s">
        <v>5</v>
      </c>
      <c r="D639" s="16" t="str">
        <f>HYPERLINK("https://freddywills.com/pick/7138/3-3-early-bird-special-ncstate-vs-ecupiratesfb-32-15-51-361-l-47-ncaaf-3-bankroll-guaranteed.html", "East Carolina +17.5 3.3% play ")</f>
        <v xml:space="preserve">East Carolina +17.5 3.3% play </v>
      </c>
      <c r="E639" s="11">
        <v>3.3</v>
      </c>
      <c r="F639" s="11">
        <v>-1.1000000000000001</v>
      </c>
      <c r="G639" s="11" t="s">
        <v>6</v>
      </c>
      <c r="H639" s="13">
        <v>-3300</v>
      </c>
      <c r="I639" s="14">
        <f t="shared" si="20"/>
        <v>-5.1000000000000004E-2</v>
      </c>
      <c r="J639" s="13">
        <f t="shared" si="21"/>
        <v>323149.86</v>
      </c>
    </row>
    <row r="640" spans="1:10" x14ac:dyDescent="0.25">
      <c r="A640" s="10">
        <v>43707.9375</v>
      </c>
      <c r="B640" s="11" t="s">
        <v>8</v>
      </c>
      <c r="C640" s="11" t="s">
        <v>5</v>
      </c>
      <c r="D640" s="16" t="str">
        <f>HYPERLINK("https://freddywills.com/pick/7133/friday-night-late-night-fix-oregonst-vs-oklahomast-guaranteed-or-back.html", "Oregon St +13.5 2.2% play ")</f>
        <v xml:space="preserve">Oregon St +13.5 2.2% play </v>
      </c>
      <c r="E640" s="11">
        <v>2.2000000000000002</v>
      </c>
      <c r="F640" s="11">
        <v>-1.1000000000000001</v>
      </c>
      <c r="G640" s="11" t="s">
        <v>6</v>
      </c>
      <c r="H640" s="13">
        <v>-2200</v>
      </c>
      <c r="I640" s="14">
        <f t="shared" si="20"/>
        <v>-1.7999999999999999E-2</v>
      </c>
      <c r="J640" s="13">
        <f t="shared" si="21"/>
        <v>326449.86</v>
      </c>
    </row>
    <row r="641" spans="1:10" x14ac:dyDescent="0.25">
      <c r="A641" s="10">
        <v>43707.802083333336</v>
      </c>
      <c r="B641" s="11" t="s">
        <v>8</v>
      </c>
      <c r="C641" s="11" t="s">
        <v>5</v>
      </c>
      <c r="D641" s="16" t="str">
        <f>HYPERLINK("https://freddywills.com/pick/7130/premium-newsletter-pick-goes-friday-60-career-ats-30-04-roi.html", "Rutgers -16 2.2% play")</f>
        <v>Rutgers -16 2.2% play</v>
      </c>
      <c r="E641" s="11">
        <v>2.2000000000000002</v>
      </c>
      <c r="F641" s="11">
        <v>-1.1000000000000001</v>
      </c>
      <c r="G641" s="11" t="s">
        <v>4</v>
      </c>
      <c r="H641" s="13">
        <v>2000</v>
      </c>
      <c r="I641" s="14">
        <f t="shared" si="20"/>
        <v>4.0000000000000001E-3</v>
      </c>
      <c r="J641" s="13">
        <f t="shared" si="21"/>
        <v>328649.86</v>
      </c>
    </row>
    <row r="642" spans="1:10" x14ac:dyDescent="0.25">
      <c r="A642" s="10">
        <v>43707.791666666664</v>
      </c>
      <c r="B642" s="11" t="s">
        <v>8</v>
      </c>
      <c r="C642" s="11" t="s">
        <v>5</v>
      </c>
      <c r="D642" s="16" t="str">
        <f>HYPERLINK("https://freddywills.com/pick/7132/3-3-friday-night-lights-badgerfootball-vs-usffootball-32-15-ats-l47-3-plays-guaranteed-or.html", "Wisconsin -10.5 3.3% play ")</f>
        <v xml:space="preserve">Wisconsin -10.5 3.3% play </v>
      </c>
      <c r="E642" s="11">
        <v>3.3</v>
      </c>
      <c r="F642" s="11">
        <v>-1.1000000000000001</v>
      </c>
      <c r="G642" s="11" t="s">
        <v>4</v>
      </c>
      <c r="H642" s="13">
        <v>3000</v>
      </c>
      <c r="I642" s="14">
        <f t="shared" ref="I642:I646" si="22">(H642/100000)+I643</f>
        <v>-1.6E-2</v>
      </c>
      <c r="J642" s="13">
        <f t="shared" si="21"/>
        <v>326649.86</v>
      </c>
    </row>
    <row r="643" spans="1:10" x14ac:dyDescent="0.25">
      <c r="A643" s="10">
        <v>43706.833333333336</v>
      </c>
      <c r="B643" s="11" t="s">
        <v>8</v>
      </c>
      <c r="C643" s="11" t="s">
        <v>7</v>
      </c>
      <c r="D643" s="16" t="str">
        <f>HYPERLINK("https://freddywills.com/pick/7129/college-football-total-of-the-day-guaranteed-or-back.html", "Clemson/GTech Under 61 2.2% play ")</f>
        <v xml:space="preserve">Clemson/GTech Under 61 2.2% play </v>
      </c>
      <c r="E643" s="11">
        <v>2.2000000000000002</v>
      </c>
      <c r="F643" s="11">
        <v>-1.1000000000000001</v>
      </c>
      <c r="G643" s="11" t="s">
        <v>6</v>
      </c>
      <c r="H643" s="13">
        <v>-2200</v>
      </c>
      <c r="I643" s="14">
        <f t="shared" si="22"/>
        <v>-4.5999999999999999E-2</v>
      </c>
      <c r="J643" s="13">
        <f t="shared" si="21"/>
        <v>323649.86</v>
      </c>
    </row>
    <row r="644" spans="1:10" x14ac:dyDescent="0.25">
      <c r="A644" s="10">
        <v>43706.791666666664</v>
      </c>
      <c r="B644" s="11" t="s">
        <v>8</v>
      </c>
      <c r="C644" s="11" t="s">
        <v>5</v>
      </c>
      <c r="D644" s="16" t="str">
        <f>HYPERLINK("https://freddywills.com/pick/7128/4-4-ncaaf-pod-thursday-25-15-ats-l40-4-plays-guaranteed-or-back.html", "UCLA +3 4.4% NCAAF POD")</f>
        <v>UCLA +3 4.4% NCAAF POD</v>
      </c>
      <c r="E644" s="11">
        <v>4.4000000000000004</v>
      </c>
      <c r="F644" s="11">
        <v>-1.1000000000000001</v>
      </c>
      <c r="G644" s="11" t="s">
        <v>6</v>
      </c>
      <c r="H644" s="13">
        <v>-4400</v>
      </c>
      <c r="I644" s="14">
        <f t="shared" si="22"/>
        <v>-2.4E-2</v>
      </c>
      <c r="J644" s="13">
        <f t="shared" si="21"/>
        <v>325849.86</v>
      </c>
    </row>
    <row r="645" spans="1:10" x14ac:dyDescent="0.25">
      <c r="A645" s="10">
        <v>43701.791666666664</v>
      </c>
      <c r="B645" s="11" t="s">
        <v>8</v>
      </c>
      <c r="C645" s="11" t="s">
        <v>5</v>
      </c>
      <c r="D645" s="16" t="str">
        <f>HYPERLINK("https://freddywills.com/pick/7126/miami-vs-florida-71-56-ats-last-127-college-football-picks-guaranteed-or-back.html", "Miami +7.5 3.3% play ")</f>
        <v xml:space="preserve">Miami +7.5 3.3% play </v>
      </c>
      <c r="E645" s="11">
        <v>3.3</v>
      </c>
      <c r="F645" s="11">
        <v>-1.1000000000000001</v>
      </c>
      <c r="G645" s="11" t="s">
        <v>4</v>
      </c>
      <c r="H645" s="13">
        <v>3000</v>
      </c>
      <c r="I645" s="14">
        <f t="shared" si="22"/>
        <v>1.9999999999999997E-2</v>
      </c>
      <c r="J645" s="13">
        <f>H645+J646</f>
        <v>330249.86</v>
      </c>
    </row>
    <row r="646" spans="1:10" x14ac:dyDescent="0.25">
      <c r="A646" s="10">
        <v>43699.5</v>
      </c>
      <c r="B646" s="11" t="s">
        <v>8</v>
      </c>
      <c r="C646" s="11" t="s">
        <v>7</v>
      </c>
      <c r="D646" s="16" t="str">
        <f>HYPERLINK("https://freddywills.com/pick/7125/season-total-win-play-big-12-team-guaranteed-or-back.html", "TCU Over 7.5 Wins +110 1% play")</f>
        <v>TCU Over 7.5 Wins +110 1% play</v>
      </c>
      <c r="E646" s="11">
        <v>1</v>
      </c>
      <c r="F646" s="11">
        <v>1.1000000000000001</v>
      </c>
      <c r="G646" s="11" t="s">
        <v>6</v>
      </c>
      <c r="H646" s="13">
        <v>-1000</v>
      </c>
      <c r="I646" s="14">
        <f>H646/100000</f>
        <v>-0.01</v>
      </c>
      <c r="J646" s="13">
        <f>H646+J649</f>
        <v>327249.86</v>
      </c>
    </row>
    <row r="647" spans="1:10" x14ac:dyDescent="0.25">
      <c r="A647" s="17" t="s">
        <v>22</v>
      </c>
      <c r="B647" s="18"/>
      <c r="C647" s="18"/>
      <c r="D647" s="18"/>
      <c r="E647" s="18"/>
      <c r="F647" s="18"/>
      <c r="G647" s="18"/>
      <c r="H647" s="18"/>
      <c r="I647" s="19">
        <v>100000</v>
      </c>
      <c r="J647" s="17"/>
    </row>
    <row r="648" spans="1:10" x14ac:dyDescent="0.25">
      <c r="A648" s="8" t="s">
        <v>26</v>
      </c>
      <c r="B648" s="9"/>
      <c r="C648" s="9"/>
      <c r="D648" s="9"/>
      <c r="E648" s="9"/>
      <c r="F648" s="9"/>
      <c r="G648" s="9"/>
      <c r="H648" s="9"/>
      <c r="I648" s="9"/>
      <c r="J648" s="9"/>
    </row>
    <row r="649" spans="1:10" x14ac:dyDescent="0.25">
      <c r="A649" s="10">
        <v>43499.770833333336</v>
      </c>
      <c r="B649" s="11" t="s">
        <v>2</v>
      </c>
      <c r="C649" s="11" t="s">
        <v>5</v>
      </c>
      <c r="D649" s="16" t="str">
        <f>HYPERLINK("https://freddywills.com/pick/7122/nfl-4-super-bowl-play-guaranteed-or-back-24-15-l39-4-plays.html", "Patriots -135 4% play ")</f>
        <v xml:space="preserve">Patriots -135 4% play </v>
      </c>
      <c r="E649" s="11">
        <v>4</v>
      </c>
      <c r="F649" s="11">
        <v>-1.35</v>
      </c>
      <c r="G649" s="11" t="s">
        <v>4</v>
      </c>
      <c r="H649" s="13">
        <v>2962.96</v>
      </c>
      <c r="I649" s="14">
        <f t="shared" ref="I649:I712" si="23">(H649/100000)+I650</f>
        <v>0.56072989999999967</v>
      </c>
      <c r="J649" s="13">
        <f t="shared" ref="J649:J712" si="24">H649+J650</f>
        <v>328249.86</v>
      </c>
    </row>
    <row r="650" spans="1:10" x14ac:dyDescent="0.25">
      <c r="A650" s="10">
        <v>43499.770833333336</v>
      </c>
      <c r="B650" s="11" t="s">
        <v>2</v>
      </c>
      <c r="C650" s="11" t="s">
        <v>7</v>
      </c>
      <c r="D650" s="16" t="str">
        <f>HYPERLINK("https://freddywills.com/pick/7123/5-5-max-nfl-pod-total-play-45-26-ats-l71-max-rated-plays-since-2015.html", "Patriots/Rams Under 56.5 5.5% POD")</f>
        <v>Patriots/Rams Under 56.5 5.5% POD</v>
      </c>
      <c r="E650" s="11">
        <v>5.5</v>
      </c>
      <c r="F650" s="11">
        <v>-1.1000000000000001</v>
      </c>
      <c r="G650" s="11" t="s">
        <v>4</v>
      </c>
      <c r="H650" s="13">
        <v>5000</v>
      </c>
      <c r="I650" s="14">
        <f t="shared" si="23"/>
        <v>0.53110029999999964</v>
      </c>
      <c r="J650" s="13">
        <f t="shared" si="24"/>
        <v>325286.89999999997</v>
      </c>
    </row>
    <row r="651" spans="1:10" x14ac:dyDescent="0.25">
      <c r="A651" s="10">
        <v>43499.770833333336</v>
      </c>
      <c r="B651" s="11" t="s">
        <v>2</v>
      </c>
      <c r="C651" s="11" t="s">
        <v>3</v>
      </c>
      <c r="D651" s="16" t="str">
        <f>HYPERLINK("https://freddywills.com/pick/7124/super-bowl-prop-package-just-10-guaranteed-or-back.html", "5 Props")</f>
        <v>5 Props</v>
      </c>
      <c r="E651" s="11">
        <v>8</v>
      </c>
      <c r="F651" s="11">
        <v>-1.1000000000000001</v>
      </c>
      <c r="G651" s="11" t="s">
        <v>6</v>
      </c>
      <c r="H651" s="13">
        <v>-1800</v>
      </c>
      <c r="I651" s="14">
        <f t="shared" si="23"/>
        <v>0.48110029999999959</v>
      </c>
      <c r="J651" s="13">
        <f t="shared" si="24"/>
        <v>320286.89999999997</v>
      </c>
    </row>
    <row r="652" spans="1:10" x14ac:dyDescent="0.25">
      <c r="A652" s="10">
        <v>43485.777777777781</v>
      </c>
      <c r="B652" s="11" t="s">
        <v>2</v>
      </c>
      <c r="C652" s="11" t="s">
        <v>5</v>
      </c>
      <c r="D652" s="16" t="str">
        <f>HYPERLINK("https://freddywills.com/pick/7119/patriots-vs-chiefs-side-play-51-64-this-nfl-season-75-54-l129-nfl-picks.html", "Patriots +3.5 -1.25 4% Play ")</f>
        <v xml:space="preserve">Patriots +3.5 -1.25 4% Play </v>
      </c>
      <c r="E652" s="11">
        <v>4</v>
      </c>
      <c r="F652" s="11">
        <v>-1.25</v>
      </c>
      <c r="G652" s="11" t="s">
        <v>4</v>
      </c>
      <c r="H652" s="13">
        <v>3200</v>
      </c>
      <c r="I652" s="14">
        <f t="shared" si="23"/>
        <v>0.49910029999999961</v>
      </c>
      <c r="J652" s="13">
        <f t="shared" si="24"/>
        <v>322086.89999999997</v>
      </c>
    </row>
    <row r="653" spans="1:10" x14ac:dyDescent="0.25">
      <c r="A653" s="10">
        <v>43485.772222222222</v>
      </c>
      <c r="B653" s="11" t="s">
        <v>2</v>
      </c>
      <c r="C653" s="11" t="s">
        <v>7</v>
      </c>
      <c r="D653" s="16" t="str">
        <f>HYPERLINK("https://freddywills.com/pick/7121/3-3-chiefs-vs-patriots-total-play-guaranteed-or-back-32-17-l49-3-plays.html", "Patriots/Chiefs U56.5 3.3% play")</f>
        <v>Patriots/Chiefs U56.5 3.3% play</v>
      </c>
      <c r="E653" s="11">
        <v>3.3</v>
      </c>
      <c r="F653" s="11">
        <v>-1.1000000000000001</v>
      </c>
      <c r="G653" s="11" t="s">
        <v>6</v>
      </c>
      <c r="H653" s="13">
        <v>-3300</v>
      </c>
      <c r="I653" s="14">
        <f t="shared" si="23"/>
        <v>0.46710029999999958</v>
      </c>
      <c r="J653" s="13">
        <f t="shared" si="24"/>
        <v>318886.89999999997</v>
      </c>
    </row>
    <row r="654" spans="1:10" x14ac:dyDescent="0.25">
      <c r="A654" s="10">
        <v>43485.628472222219</v>
      </c>
      <c r="B654" s="11" t="s">
        <v>2</v>
      </c>
      <c r="C654" s="11" t="s">
        <v>5</v>
      </c>
      <c r="D654" s="16" t="str">
        <f>HYPERLINK("https://freddywills.com/pick/7118/5-5-max-nfl-pod-45-25-l70-max-nfl-pod-s-64-2-guaranteed-or-back.html", "Saints -3 5.5% NFL POD")</f>
        <v>Saints -3 5.5% NFL POD</v>
      </c>
      <c r="E654" s="11">
        <v>5.5</v>
      </c>
      <c r="F654" s="11">
        <v>-1.1000000000000001</v>
      </c>
      <c r="G654" s="11" t="s">
        <v>6</v>
      </c>
      <c r="H654" s="13">
        <v>-5500</v>
      </c>
      <c r="I654" s="14">
        <f t="shared" si="23"/>
        <v>0.50010029999999961</v>
      </c>
      <c r="J654" s="13">
        <f t="shared" si="24"/>
        <v>322186.89999999997</v>
      </c>
    </row>
    <row r="655" spans="1:10" x14ac:dyDescent="0.25">
      <c r="A655" s="10">
        <v>43485.628472222219</v>
      </c>
      <c r="B655" s="11" t="s">
        <v>2</v>
      </c>
      <c r="C655" s="11" t="s">
        <v>7</v>
      </c>
      <c r="D655" s="16" t="str">
        <f>HYPERLINK("https://freddywills.com/pick/7120/saints-vs-patriots-total-play-guaranteed-or-back-75-54-l129-nfl-picks.html", "Saints/Rams Under 57 3.3% play")</f>
        <v>Saints/Rams Under 57 3.3% play</v>
      </c>
      <c r="E655" s="11">
        <v>3.3</v>
      </c>
      <c r="F655" s="11">
        <v>-1.1000000000000001</v>
      </c>
      <c r="G655" s="11" t="s">
        <v>4</v>
      </c>
      <c r="H655" s="13">
        <v>3000</v>
      </c>
      <c r="I655" s="14">
        <f t="shared" si="23"/>
        <v>0.55510029999999966</v>
      </c>
      <c r="J655" s="13">
        <f t="shared" si="24"/>
        <v>327686.89999999997</v>
      </c>
    </row>
    <row r="656" spans="1:10" x14ac:dyDescent="0.25">
      <c r="A656" s="10">
        <v>43478.545138888891</v>
      </c>
      <c r="B656" s="11" t="s">
        <v>2</v>
      </c>
      <c r="C656" s="11" t="s">
        <v>5</v>
      </c>
      <c r="D656" s="16" t="str">
        <f>HYPERLINK("https://freddywills.com/pick/7117/5-5-max-pod-sunday-44-25-63-7-l69-max-nfl-pod-s-since-2015.html", "Patriots -4 5.5% NFL POD")</f>
        <v>Patriots -4 5.5% NFL POD</v>
      </c>
      <c r="E656" s="11">
        <v>5.5</v>
      </c>
      <c r="F656" s="11">
        <v>-1.1000000000000001</v>
      </c>
      <c r="G656" s="11" t="s">
        <v>4</v>
      </c>
      <c r="H656" s="13">
        <v>5000</v>
      </c>
      <c r="I656" s="14">
        <f t="shared" si="23"/>
        <v>0.52510029999999963</v>
      </c>
      <c r="J656" s="13">
        <f t="shared" si="24"/>
        <v>324686.89999999997</v>
      </c>
    </row>
    <row r="657" spans="1:10" x14ac:dyDescent="0.25">
      <c r="A657" s="10">
        <v>43477.84375</v>
      </c>
      <c r="B657" s="11" t="s">
        <v>2</v>
      </c>
      <c r="C657" s="11" t="s">
        <v>5</v>
      </c>
      <c r="D657" s="16" t="str">
        <f>HYPERLINK("https://freddywills.com/pick/7116/4-4-nfl-pod-cowboys-vs-rams-39-17-l56-picks-in-january-54-34-roi-this-nfl-season.html", "Cowboys +7 4.4% NFL POD")</f>
        <v>Cowboys +7 4.4% NFL POD</v>
      </c>
      <c r="E657" s="11">
        <v>4.4000000000000004</v>
      </c>
      <c r="F657" s="11">
        <v>-1.1000000000000001</v>
      </c>
      <c r="G657" s="11" t="s">
        <v>6</v>
      </c>
      <c r="H657" s="13">
        <v>-4400</v>
      </c>
      <c r="I657" s="14">
        <f t="shared" si="23"/>
        <v>0.47510029999999964</v>
      </c>
      <c r="J657" s="13">
        <f t="shared" si="24"/>
        <v>319686.89999999997</v>
      </c>
    </row>
    <row r="658" spans="1:10" x14ac:dyDescent="0.25">
      <c r="A658" s="10">
        <v>43477.684027777781</v>
      </c>
      <c r="B658" s="11" t="s">
        <v>2</v>
      </c>
      <c r="C658" s="11" t="s">
        <v>5</v>
      </c>
      <c r="D658" s="16" t="str">
        <f>HYPERLINK("https://freddywills.com/pick/7115/3-3-play-31-18-ats-l49-3-nfl-picks-colts-vs-chiefs-guaranteed-or-back.html", "Colts +5.5 3.3% play ")</f>
        <v xml:space="preserve">Colts +5.5 3.3% play </v>
      </c>
      <c r="E658" s="11">
        <v>3.3</v>
      </c>
      <c r="F658" s="11">
        <v>-1.1000000000000001</v>
      </c>
      <c r="G658" s="11" t="s">
        <v>6</v>
      </c>
      <c r="H658" s="13">
        <v>-3300</v>
      </c>
      <c r="I658" s="14">
        <f t="shared" si="23"/>
        <v>0.51910029999999963</v>
      </c>
      <c r="J658" s="13">
        <f t="shared" si="24"/>
        <v>324086.89999999997</v>
      </c>
    </row>
    <row r="659" spans="1:10" x14ac:dyDescent="0.25">
      <c r="A659" s="10">
        <v>43472.854166666664</v>
      </c>
      <c r="B659" s="11" t="s">
        <v>8</v>
      </c>
      <c r="C659" s="11" t="s">
        <v>7</v>
      </c>
      <c r="D659" s="16" t="str">
        <f>HYPERLINK("https://freddywills.com/pick/7112/clemson-vs-alabama-total-play-guaranteed-or-back.html", "Clemson/Alabama Over 57 3.3% ")</f>
        <v xml:space="preserve">Clemson/Alabama Over 57 3.3% </v>
      </c>
      <c r="E659" s="11">
        <v>3.3</v>
      </c>
      <c r="F659" s="11">
        <v>-1.1000000000000001</v>
      </c>
      <c r="G659" s="11" t="s">
        <v>4</v>
      </c>
      <c r="H659" s="13">
        <v>3000</v>
      </c>
      <c r="I659" s="14">
        <f t="shared" si="23"/>
        <v>0.55210029999999966</v>
      </c>
      <c r="J659" s="13">
        <f t="shared" si="24"/>
        <v>327386.89999999997</v>
      </c>
    </row>
    <row r="660" spans="1:10" x14ac:dyDescent="0.25">
      <c r="A660" s="10">
        <v>43472.854166666664</v>
      </c>
      <c r="B660" s="11" t="s">
        <v>8</v>
      </c>
      <c r="C660" s="11" t="s">
        <v>18</v>
      </c>
      <c r="D660" s="16" t="str">
        <f>HYPERLINK("https://freddywills.com/pick/7114/clemson-vs-alabama-play.html", "Clemson +180 1.5% play - For tracking purposes")</f>
        <v>Clemson +180 1.5% play - For tracking purposes</v>
      </c>
      <c r="E660" s="11">
        <v>1.5</v>
      </c>
      <c r="F660" s="11">
        <v>1.8</v>
      </c>
      <c r="G660" s="11" t="s">
        <v>4</v>
      </c>
      <c r="H660" s="13">
        <v>2700</v>
      </c>
      <c r="I660" s="14">
        <f t="shared" si="23"/>
        <v>0.52210029999999963</v>
      </c>
      <c r="J660" s="13">
        <f t="shared" si="24"/>
        <v>324386.89999999997</v>
      </c>
    </row>
    <row r="661" spans="1:10" x14ac:dyDescent="0.25">
      <c r="A661" s="10">
        <v>43472.833333333336</v>
      </c>
      <c r="B661" s="11" t="s">
        <v>8</v>
      </c>
      <c r="C661" s="11" t="s">
        <v>5</v>
      </c>
      <c r="D661" s="16" t="str">
        <f>HYPERLINK("https://freddywills.com/pick/7113/5-5-max-ncaaf-pod-8-1-ats-career-on-sides-in-national-championship-games-guaranteed-or-back.html", "Clemson +5.5 5.5% NCAAF POD ")</f>
        <v xml:space="preserve">Clemson +5.5 5.5% NCAAF POD </v>
      </c>
      <c r="E661" s="11">
        <v>5.5</v>
      </c>
      <c r="F661" s="11">
        <v>-1.1000000000000001</v>
      </c>
      <c r="G661" s="11" t="s">
        <v>4</v>
      </c>
      <c r="H661" s="13">
        <v>5000</v>
      </c>
      <c r="I661" s="14">
        <f t="shared" si="23"/>
        <v>0.49510029999999966</v>
      </c>
      <c r="J661" s="13">
        <f t="shared" si="24"/>
        <v>321686.89999999997</v>
      </c>
    </row>
    <row r="662" spans="1:10" x14ac:dyDescent="0.25">
      <c r="A662" s="10">
        <v>43471.684027777781</v>
      </c>
      <c r="B662" s="11" t="s">
        <v>2</v>
      </c>
      <c r="C662" s="11" t="s">
        <v>5</v>
      </c>
      <c r="D662" s="16" t="str">
        <f>HYPERLINK("https://freddywills.com/pick/7111/bears-vs-eagles-guaranteed-or-back-59-41-l100-overall-nfl-picks.html", "Bears -6.5 2.2% play ")</f>
        <v xml:space="preserve">Bears -6.5 2.2% play </v>
      </c>
      <c r="E662" s="11">
        <v>2.2000000000000002</v>
      </c>
      <c r="F662" s="11">
        <v>-1.1000000000000001</v>
      </c>
      <c r="G662" s="11" t="s">
        <v>6</v>
      </c>
      <c r="H662" s="13">
        <v>-2200</v>
      </c>
      <c r="I662" s="14">
        <f t="shared" si="23"/>
        <v>0.44510029999999967</v>
      </c>
      <c r="J662" s="13">
        <f t="shared" si="24"/>
        <v>316686.89999999997</v>
      </c>
    </row>
    <row r="663" spans="1:10" x14ac:dyDescent="0.25">
      <c r="A663" s="10">
        <v>43471.541666666664</v>
      </c>
      <c r="B663" s="11" t="s">
        <v>2</v>
      </c>
      <c r="C663" s="11" t="s">
        <v>5</v>
      </c>
      <c r="D663" s="16" t="str">
        <f>HYPERLINK("https://freddywills.com/pick/7110/4-4-nfl-pod-chargers-vs-ravens-guaranteed-or-back-52-roi-this-nfl-season.html", "Chargers +3 4.4% NFL POD")</f>
        <v>Chargers +3 4.4% NFL POD</v>
      </c>
      <c r="E663" s="11">
        <v>4.4000000000000004</v>
      </c>
      <c r="F663" s="11">
        <v>-1.1000000000000001</v>
      </c>
      <c r="G663" s="11" t="s">
        <v>4</v>
      </c>
      <c r="H663" s="13">
        <v>4000</v>
      </c>
      <c r="I663" s="14">
        <f t="shared" si="23"/>
        <v>0.46710029999999969</v>
      </c>
      <c r="J663" s="13">
        <f t="shared" si="24"/>
        <v>318886.89999999997</v>
      </c>
    </row>
    <row r="664" spans="1:10" x14ac:dyDescent="0.25">
      <c r="A664" s="10">
        <v>43470.833333333336</v>
      </c>
      <c r="B664" s="11" t="s">
        <v>2</v>
      </c>
      <c r="C664" s="11" t="s">
        <v>18</v>
      </c>
      <c r="D664" s="16" t="str">
        <f>HYPERLINK("https://freddywills.com/pick/7108/5-5-max-nfl-pod-43-25-ats-l68-max-nfl-pod-51-nfl-ty.html", "Cowboys -125 5.5% NFL POD")</f>
        <v>Cowboys -125 5.5% NFL POD</v>
      </c>
      <c r="E664" s="11">
        <v>5.5</v>
      </c>
      <c r="F664" s="11">
        <v>-1.25</v>
      </c>
      <c r="G664" s="11" t="s">
        <v>4</v>
      </c>
      <c r="H664" s="13">
        <v>4400</v>
      </c>
      <c r="I664" s="14">
        <f t="shared" si="23"/>
        <v>0.42710029999999971</v>
      </c>
      <c r="J664" s="13">
        <f t="shared" si="24"/>
        <v>314886.89999999997</v>
      </c>
    </row>
    <row r="665" spans="1:10" x14ac:dyDescent="0.25">
      <c r="A665" s="10">
        <v>43470.684027777781</v>
      </c>
      <c r="B665" s="11" t="s">
        <v>2</v>
      </c>
      <c r="C665" s="11" t="s">
        <v>5</v>
      </c>
      <c r="D665" s="16" t="str">
        <f>HYPERLINK("https://freddywills.com/pick/7109/texans-vs-colts-3-3-play-51-this-nfl-season-52-7-january-nfl-since-2010.html", "Texans -1.5 3.3% play ")</f>
        <v xml:space="preserve">Texans -1.5 3.3% play </v>
      </c>
      <c r="E665" s="11">
        <v>3.3</v>
      </c>
      <c r="F665" s="11">
        <v>-1.1000000000000001</v>
      </c>
      <c r="G665" s="11" t="s">
        <v>6</v>
      </c>
      <c r="H665" s="13">
        <v>-3300</v>
      </c>
      <c r="I665" s="14">
        <f t="shared" si="23"/>
        <v>0.38310029999999973</v>
      </c>
      <c r="J665" s="13">
        <f t="shared" si="24"/>
        <v>310486.89999999997</v>
      </c>
    </row>
    <row r="666" spans="1:10" x14ac:dyDescent="0.25">
      <c r="A666" s="10">
        <v>43466.864583333336</v>
      </c>
      <c r="B666" s="11" t="s">
        <v>8</v>
      </c>
      <c r="C666" s="11" t="s">
        <v>5</v>
      </c>
      <c r="D666" s="16" t="str">
        <f>HYPERLINK("https://freddywills.com/pick/7107/sugar-bowl-texas-vs-georgia-guaranteed-or-back.html", "Georgia -12 2.2% play ")</f>
        <v xml:space="preserve">Georgia -12 2.2% play </v>
      </c>
      <c r="E666" s="11">
        <v>2.2000000000000002</v>
      </c>
      <c r="F666" s="11">
        <v>-1.1000000000000001</v>
      </c>
      <c r="G666" s="11" t="s">
        <v>6</v>
      </c>
      <c r="H666" s="13">
        <v>-2200</v>
      </c>
      <c r="I666" s="14">
        <f t="shared" si="23"/>
        <v>0.41610029999999976</v>
      </c>
      <c r="J666" s="13">
        <f t="shared" si="24"/>
        <v>313786.89999999997</v>
      </c>
    </row>
    <row r="667" spans="1:10" x14ac:dyDescent="0.25">
      <c r="A667" s="10">
        <v>43466.708333333336</v>
      </c>
      <c r="B667" s="11" t="s">
        <v>8</v>
      </c>
      <c r="C667" s="11" t="s">
        <v>5</v>
      </c>
      <c r="D667" s="16" t="str">
        <f>HYPERLINK("https://freddywills.com/pick/7105/rose-bowl-guaranteed-or-back-career-5-3-ats-career-rose-bowl-record.html", "Washington +7 3.3% play ")</f>
        <v xml:space="preserve">Washington +7 3.3% play </v>
      </c>
      <c r="E667" s="11">
        <v>3.3</v>
      </c>
      <c r="F667" s="11">
        <v>-1.1000000000000001</v>
      </c>
      <c r="G667" s="11" t="s">
        <v>4</v>
      </c>
      <c r="H667" s="13">
        <v>3000</v>
      </c>
      <c r="I667" s="14">
        <f t="shared" si="23"/>
        <v>0.43810029999999978</v>
      </c>
      <c r="J667" s="13">
        <f t="shared" si="24"/>
        <v>315986.89999999997</v>
      </c>
    </row>
    <row r="668" spans="1:10" x14ac:dyDescent="0.25">
      <c r="A668" s="10">
        <v>43466.541666666664</v>
      </c>
      <c r="B668" s="11" t="s">
        <v>8</v>
      </c>
      <c r="C668" s="11" t="s">
        <v>5</v>
      </c>
      <c r="D668" s="16" t="str">
        <f>HYPERLINK("https://freddywills.com/pick/7104/new-years-5-5-max-pod-kentucky-vs-penn-state-guaranteed-or-back.html", "Kentucky +6 5.5% NCAAF POD ")</f>
        <v xml:space="preserve">Kentucky +6 5.5% NCAAF POD </v>
      </c>
      <c r="E668" s="11">
        <v>5.5</v>
      </c>
      <c r="F668" s="11">
        <v>-1.1000000000000001</v>
      </c>
      <c r="G668" s="11" t="s">
        <v>4</v>
      </c>
      <c r="H668" s="13">
        <v>5000</v>
      </c>
      <c r="I668" s="14">
        <f t="shared" si="23"/>
        <v>0.4081002999999998</v>
      </c>
      <c r="J668" s="13">
        <f t="shared" si="24"/>
        <v>312986.89999999997</v>
      </c>
    </row>
    <row r="669" spans="1:10" x14ac:dyDescent="0.25">
      <c r="A669" s="10">
        <v>43466.541666666664</v>
      </c>
      <c r="B669" s="11" t="s">
        <v>8</v>
      </c>
      <c r="C669" s="11" t="s">
        <v>5</v>
      </c>
      <c r="D669" s="16" t="str">
        <f>HYPERLINK("https://freddywills.com/pick/7106/fiesta-bowl-guaranteed-or-back-lsu-vs-centralflorida.html", "LSU -7.5 3.3% PLAY ")</f>
        <v xml:space="preserve">LSU -7.5 3.3% PLAY </v>
      </c>
      <c r="E669" s="11">
        <v>3.3</v>
      </c>
      <c r="F669" s="11">
        <v>-1.1000000000000001</v>
      </c>
      <c r="G669" s="11" t="s">
        <v>4</v>
      </c>
      <c r="H669" s="13">
        <v>3000</v>
      </c>
      <c r="I669" s="14">
        <f t="shared" si="23"/>
        <v>0.35810029999999982</v>
      </c>
      <c r="J669" s="13">
        <f t="shared" si="24"/>
        <v>307986.89999999997</v>
      </c>
    </row>
    <row r="670" spans="1:10" x14ac:dyDescent="0.25">
      <c r="A670" s="10">
        <v>43466.5</v>
      </c>
      <c r="B670" s="11" t="s">
        <v>8</v>
      </c>
      <c r="C670" s="11" t="s">
        <v>5</v>
      </c>
      <c r="D670" s="16" t="str">
        <f>HYPERLINK("https://freddywills.com/pick/7103/iowa-vs-miss-state-guaranteed-or-back.html", "Iowa +7.5 3.3% play ")</f>
        <v xml:space="preserve">Iowa +7.5 3.3% play </v>
      </c>
      <c r="E670" s="11">
        <v>3.3</v>
      </c>
      <c r="F670" s="11">
        <v>-1.1000000000000001</v>
      </c>
      <c r="G670" s="11" t="s">
        <v>4</v>
      </c>
      <c r="H670" s="13">
        <v>3000</v>
      </c>
      <c r="I670" s="14">
        <f t="shared" si="23"/>
        <v>0.32810029999999979</v>
      </c>
      <c r="J670" s="13">
        <f t="shared" si="24"/>
        <v>304986.89999999997</v>
      </c>
    </row>
    <row r="671" spans="1:10" x14ac:dyDescent="0.25">
      <c r="A671" s="10">
        <v>43465.791666666664</v>
      </c>
      <c r="B671" s="11" t="s">
        <v>8</v>
      </c>
      <c r="C671" s="11" t="s">
        <v>5</v>
      </c>
      <c r="D671" s="16" t="str">
        <f>HYPERLINK("https://freddywills.com/pick/7102/gator-bowl-texasam-vs-nc-state.html", "Texas AM -7 -115 3.5% play ")</f>
        <v xml:space="preserve">Texas AM -7 -115 3.5% play </v>
      </c>
      <c r="E671" s="11">
        <v>3.5</v>
      </c>
      <c r="F671" s="11">
        <v>-1.1499999999999999</v>
      </c>
      <c r="G671" s="11" t="s">
        <v>4</v>
      </c>
      <c r="H671" s="13">
        <v>3043.48</v>
      </c>
      <c r="I671" s="14">
        <f t="shared" si="23"/>
        <v>0.29810029999999976</v>
      </c>
      <c r="J671" s="13">
        <f t="shared" si="24"/>
        <v>301986.89999999997</v>
      </c>
    </row>
    <row r="672" spans="1:10" x14ac:dyDescent="0.25">
      <c r="A672" s="10">
        <v>43465.65625</v>
      </c>
      <c r="B672" s="11" t="s">
        <v>8</v>
      </c>
      <c r="C672" s="11" t="s">
        <v>5</v>
      </c>
      <c r="D672" s="16" t="str">
        <f>HYPERLINK("https://freddywills.com/pick/7101/missouri-vs-oklahoma-state-1-1-free-play-32-17-l-51-free-ncaaf-picks.html", "Missouri -9 1.1% Free Play ")</f>
        <v xml:space="preserve">Missouri -9 1.1% Free Play </v>
      </c>
      <c r="E672" s="11">
        <v>1.1000000000000001</v>
      </c>
      <c r="F672" s="11">
        <v>-1.1000000000000001</v>
      </c>
      <c r="G672" s="11" t="s">
        <v>6</v>
      </c>
      <c r="H672" s="13">
        <v>-1100</v>
      </c>
      <c r="I672" s="14">
        <f t="shared" si="23"/>
        <v>0.26766549999999978</v>
      </c>
      <c r="J672" s="13">
        <f t="shared" si="24"/>
        <v>298943.42</v>
      </c>
    </row>
    <row r="673" spans="1:10" x14ac:dyDescent="0.25">
      <c r="A673" s="10">
        <v>43465.625</v>
      </c>
      <c r="B673" s="11" t="s">
        <v>8</v>
      </c>
      <c r="C673" s="11" t="s">
        <v>5</v>
      </c>
      <c r="D673" s="16" t="str">
        <f>HYPERLINK("https://freddywills.com/pick/7100/michigan-state-vs-oregon-5-5-max-rated-ncaaf-pod-guaranteed-or-back.html", "Michigan State +1.5 5.5% POD")</f>
        <v>Michigan State +1.5 5.5% POD</v>
      </c>
      <c r="E673" s="11">
        <v>5.5</v>
      </c>
      <c r="F673" s="11">
        <v>-1.1000000000000001</v>
      </c>
      <c r="G673" s="11" t="s">
        <v>4</v>
      </c>
      <c r="H673" s="13">
        <v>5000</v>
      </c>
      <c r="I673" s="14">
        <f t="shared" si="23"/>
        <v>0.27866549999999979</v>
      </c>
      <c r="J673" s="13">
        <f t="shared" si="24"/>
        <v>300043.42</v>
      </c>
    </row>
    <row r="674" spans="1:10" x14ac:dyDescent="0.25">
      <c r="A674" s="10">
        <v>43465.5</v>
      </c>
      <c r="B674" s="11" t="s">
        <v>8</v>
      </c>
      <c r="C674" s="11" t="s">
        <v>5</v>
      </c>
      <c r="D674" s="16" t="str">
        <f>HYPERLINK("https://freddywills.com/pick/7099/military-bowl-virginia-tech-vs-cincinnati-3-3-play-guaranteed-or-back.html", "Virginia Tech +7 3.3% play ")</f>
        <v xml:space="preserve">Virginia Tech +7 3.3% play </v>
      </c>
      <c r="E674" s="11">
        <v>3.3</v>
      </c>
      <c r="F674" s="11">
        <v>-1.1000000000000001</v>
      </c>
      <c r="G674" s="11" t="s">
        <v>4</v>
      </c>
      <c r="H674" s="13">
        <v>3000</v>
      </c>
      <c r="I674" s="14">
        <f t="shared" si="23"/>
        <v>0.2286654999999998</v>
      </c>
      <c r="J674" s="13">
        <f t="shared" si="24"/>
        <v>295043.42</v>
      </c>
    </row>
    <row r="675" spans="1:10" x14ac:dyDescent="0.25">
      <c r="A675" s="10">
        <v>43464.847222222219</v>
      </c>
      <c r="B675" s="11" t="s">
        <v>2</v>
      </c>
      <c r="C675" s="11" t="s">
        <v>7</v>
      </c>
      <c r="D675" s="16" t="str">
        <f>HYPERLINK("https://freddywills.com/pick/7098/nfl-total-of-the-week-guaranteed-or-back.html", "Colts/Titans Under 44 2.2% play ")</f>
        <v xml:space="preserve">Colts/Titans Under 44 2.2% play </v>
      </c>
      <c r="E675" s="11">
        <v>2.2000000000000002</v>
      </c>
      <c r="F675" s="11">
        <v>-1.1000000000000001</v>
      </c>
      <c r="G675" s="11" t="s">
        <v>9</v>
      </c>
      <c r="H675" s="13">
        <v>0</v>
      </c>
      <c r="I675" s="14">
        <f t="shared" si="23"/>
        <v>0.1986654999999998</v>
      </c>
      <c r="J675" s="13">
        <f t="shared" si="24"/>
        <v>292043.42</v>
      </c>
    </row>
    <row r="676" spans="1:10" x14ac:dyDescent="0.25">
      <c r="A676" s="10">
        <v>43464.684027777781</v>
      </c>
      <c r="B676" s="11" t="s">
        <v>2</v>
      </c>
      <c r="C676" s="11" t="s">
        <v>5</v>
      </c>
      <c r="D676" s="16" t="str">
        <f>HYPERLINK("https://freddywills.com/pick/7094/nfl-free-pick-sunday-1-1-33-17-last-50-free-nfl-picks.html", "Bengals +14 1.1% Free play ")</f>
        <v xml:space="preserve">Bengals +14 1.1% Free play </v>
      </c>
      <c r="E676" s="11">
        <v>1.1000000000000001</v>
      </c>
      <c r="F676" s="11">
        <v>-1.1000000000000001</v>
      </c>
      <c r="G676" s="11" t="s">
        <v>4</v>
      </c>
      <c r="H676" s="13">
        <v>1000</v>
      </c>
      <c r="I676" s="14">
        <f t="shared" si="23"/>
        <v>0.1986654999999998</v>
      </c>
      <c r="J676" s="13">
        <f t="shared" si="24"/>
        <v>292043.42</v>
      </c>
    </row>
    <row r="677" spans="1:10" x14ac:dyDescent="0.25">
      <c r="A677" s="10">
        <v>43464.684027777781</v>
      </c>
      <c r="B677" s="11" t="s">
        <v>2</v>
      </c>
      <c r="C677" s="11" t="s">
        <v>5</v>
      </c>
      <c r="D677" s="16" t="str">
        <f>HYPERLINK("https://freddywills.com/pick/7097/redskins-vs-eagles-guaranteed-or-back-47-this-year-in-nfl.html", "Redskins +6.5 2.2% play ")</f>
        <v xml:space="preserve">Redskins +6.5 2.2% play </v>
      </c>
      <c r="E677" s="11">
        <v>2.2000000000000002</v>
      </c>
      <c r="F677" s="11">
        <v>-1.1000000000000001</v>
      </c>
      <c r="G677" s="11" t="s">
        <v>6</v>
      </c>
      <c r="H677" s="13">
        <v>-2200</v>
      </c>
      <c r="I677" s="14">
        <f t="shared" si="23"/>
        <v>0.18866549999999979</v>
      </c>
      <c r="J677" s="13">
        <f t="shared" si="24"/>
        <v>291043.42</v>
      </c>
    </row>
    <row r="678" spans="1:10" x14ac:dyDescent="0.25">
      <c r="A678" s="10">
        <v>43464.44027777778</v>
      </c>
      <c r="B678" s="11" t="s">
        <v>2</v>
      </c>
      <c r="C678" s="11" t="s">
        <v>18</v>
      </c>
      <c r="D678" s="16" t="str">
        <f>HYPERLINK("https://freddywills.com/pick/7095/3-ml-dog-of-the-week-guaranteed-or-back.html", "Cowboys +260 3% play ")</f>
        <v xml:space="preserve">Cowboys +260 3% play </v>
      </c>
      <c r="E678" s="11">
        <v>3</v>
      </c>
      <c r="F678" s="11">
        <v>2.6</v>
      </c>
      <c r="G678" s="11" t="s">
        <v>4</v>
      </c>
      <c r="H678" s="13">
        <v>7800</v>
      </c>
      <c r="I678" s="14">
        <f t="shared" si="23"/>
        <v>0.21066549999999978</v>
      </c>
      <c r="J678" s="13">
        <f t="shared" si="24"/>
        <v>293243.42</v>
      </c>
    </row>
    <row r="679" spans="1:10" x14ac:dyDescent="0.25">
      <c r="A679" s="10">
        <v>43464.066666666666</v>
      </c>
      <c r="B679" s="11" t="s">
        <v>2</v>
      </c>
      <c r="C679" s="11" t="s">
        <v>5</v>
      </c>
      <c r="D679" s="16" t="str">
        <f>HYPERLINK("https://freddywills.com/pick/7096/2-2-play-vikings-vs-bears-70-48-l118-nfl-picks.html", "Vikings -6 2.2% play ")</f>
        <v xml:space="preserve">Vikings -6 2.2% play </v>
      </c>
      <c r="E679" s="11">
        <v>2.2000000000000002</v>
      </c>
      <c r="F679" s="11">
        <v>-1.1000000000000001</v>
      </c>
      <c r="G679" s="11" t="s">
        <v>6</v>
      </c>
      <c r="H679" s="13">
        <v>-2200</v>
      </c>
      <c r="I679" s="14">
        <f t="shared" si="23"/>
        <v>0.1326654999999998</v>
      </c>
      <c r="J679" s="13">
        <f t="shared" si="24"/>
        <v>285443.42</v>
      </c>
    </row>
    <row r="680" spans="1:10" x14ac:dyDescent="0.25">
      <c r="A680" s="10">
        <v>43463.833333333336</v>
      </c>
      <c r="B680" s="11" t="s">
        <v>8</v>
      </c>
      <c r="C680" s="11" t="s">
        <v>5</v>
      </c>
      <c r="D680" s="16" t="str">
        <f>HYPERLINK("https://freddywills.com/pick/7088/5-5-max-ncaaf-pod-33-6-1-ats-career-in-december-alabama-vs-oklahoma.html", "Alabama -14 5.5% NCAAF POD")</f>
        <v>Alabama -14 5.5% NCAAF POD</v>
      </c>
      <c r="E680" s="11">
        <v>5.5</v>
      </c>
      <c r="F680" s="11">
        <v>-1.1000000000000001</v>
      </c>
      <c r="G680" s="11" t="s">
        <v>6</v>
      </c>
      <c r="H680" s="13">
        <v>-5500</v>
      </c>
      <c r="I680" s="14">
        <f t="shared" si="23"/>
        <v>0.15466549999999979</v>
      </c>
      <c r="J680" s="13">
        <f t="shared" si="24"/>
        <v>287643.42</v>
      </c>
    </row>
    <row r="681" spans="1:10" x14ac:dyDescent="0.25">
      <c r="A681" s="10">
        <v>43463.666666666664</v>
      </c>
      <c r="B681" s="11" t="s">
        <v>8</v>
      </c>
      <c r="C681" s="11" t="s">
        <v>5</v>
      </c>
      <c r="D681" s="16" t="str">
        <f>HYPERLINK("https://freddywills.com/pick/7092/clemson-vs-notre-dame-guaranteed-or-back-3-3-play.html", "Notre Dame +11.5 3.3% play ")</f>
        <v xml:space="preserve">Notre Dame +11.5 3.3% play </v>
      </c>
      <c r="E681" s="11">
        <v>3.3</v>
      </c>
      <c r="F681" s="11">
        <v>-1.1000000000000001</v>
      </c>
      <c r="G681" s="11" t="s">
        <v>6</v>
      </c>
      <c r="H681" s="13">
        <v>-3300</v>
      </c>
      <c r="I681" s="14">
        <f t="shared" si="23"/>
        <v>0.20966549999999978</v>
      </c>
      <c r="J681" s="13">
        <f t="shared" si="24"/>
        <v>293143.42</v>
      </c>
    </row>
    <row r="682" spans="1:10" x14ac:dyDescent="0.25">
      <c r="A682" s="10">
        <v>43463.552083333336</v>
      </c>
      <c r="B682" s="11" t="s">
        <v>8</v>
      </c>
      <c r="C682" s="11" t="s">
        <v>5</v>
      </c>
      <c r="D682" s="16" t="str">
        <f>HYPERLINK("https://freddywills.com/pick/7091/3-3-play-arkansas-state-vs-nevada-guaranteed-or-back.html", "Arkansas State +1 3.3% play ")</f>
        <v xml:space="preserve">Arkansas State +1 3.3% play </v>
      </c>
      <c r="E682" s="11">
        <v>3.3</v>
      </c>
      <c r="F682" s="11">
        <v>-1.1000000000000001</v>
      </c>
      <c r="G682" s="11" t="s">
        <v>6</v>
      </c>
      <c r="H682" s="13">
        <v>-3300</v>
      </c>
      <c r="I682" s="14">
        <f t="shared" si="23"/>
        <v>0.24266549999999978</v>
      </c>
      <c r="J682" s="13">
        <f t="shared" si="24"/>
        <v>296443.42</v>
      </c>
    </row>
    <row r="683" spans="1:10" x14ac:dyDescent="0.25">
      <c r="A683" s="10">
        <v>43463.5</v>
      </c>
      <c r="B683" s="11" t="s">
        <v>8</v>
      </c>
      <c r="C683" s="11" t="s">
        <v>5</v>
      </c>
      <c r="D683" s="16" t="str">
        <f>HYPERLINK("https://freddywills.com/pick/7089/florida-vs-michigan-guaranteed-or-back.html", "Florida +6 3.3% play ")</f>
        <v xml:space="preserve">Florida +6 3.3% play </v>
      </c>
      <c r="E683" s="11">
        <v>3.3</v>
      </c>
      <c r="F683" s="11">
        <v>-1.1000000000000001</v>
      </c>
      <c r="G683" s="11" t="s">
        <v>4</v>
      </c>
      <c r="H683" s="13">
        <v>3000</v>
      </c>
      <c r="I683" s="14">
        <f t="shared" si="23"/>
        <v>0.27566549999999979</v>
      </c>
      <c r="J683" s="13">
        <f t="shared" si="24"/>
        <v>299743.42</v>
      </c>
    </row>
    <row r="684" spans="1:10" x14ac:dyDescent="0.25">
      <c r="A684" s="10">
        <v>43463.5</v>
      </c>
      <c r="B684" s="11" t="s">
        <v>8</v>
      </c>
      <c r="C684" s="11" t="s">
        <v>18</v>
      </c>
      <c r="D684" s="16" t="str">
        <f>HYPERLINK("https://freddywills.com/pick/7090/florida-vs-michigan-bonus-play.html", "Florida +210 1% bonus play ")</f>
        <v xml:space="preserve">Florida +210 1% bonus play </v>
      </c>
      <c r="E684" s="11">
        <v>1</v>
      </c>
      <c r="F684" s="11">
        <v>2.1</v>
      </c>
      <c r="G684" s="11" t="s">
        <v>4</v>
      </c>
      <c r="H684" s="13">
        <v>2100</v>
      </c>
      <c r="I684" s="14">
        <f t="shared" si="23"/>
        <v>0.24566549999999981</v>
      </c>
      <c r="J684" s="13">
        <f t="shared" si="24"/>
        <v>296743.42</v>
      </c>
    </row>
    <row r="685" spans="1:10" x14ac:dyDescent="0.25">
      <c r="A685" s="10">
        <v>43463.5</v>
      </c>
      <c r="B685" s="11" t="s">
        <v>8</v>
      </c>
      <c r="C685" s="11" t="s">
        <v>5</v>
      </c>
      <c r="D685" s="16" t="str">
        <f>HYPERLINK("https://freddywills.com/pick/7093/1-1-free-play-southcarolina-vs-virginia.html", "South Carolina -3.5 1.1% play ")</f>
        <v xml:space="preserve">South Carolina -3.5 1.1% play </v>
      </c>
      <c r="E685" s="11">
        <v>1.1000000000000001</v>
      </c>
      <c r="F685" s="11">
        <v>-1.1000000000000001</v>
      </c>
      <c r="G685" s="11" t="s">
        <v>6</v>
      </c>
      <c r="H685" s="13">
        <v>-1100</v>
      </c>
      <c r="I685" s="14">
        <f t="shared" si="23"/>
        <v>0.22466549999999982</v>
      </c>
      <c r="J685" s="13">
        <f t="shared" si="24"/>
        <v>294643.42</v>
      </c>
    </row>
    <row r="686" spans="1:10" x14ac:dyDescent="0.25">
      <c r="A686" s="10">
        <v>43462.5625</v>
      </c>
      <c r="B686" s="11" t="s">
        <v>8</v>
      </c>
      <c r="C686" s="11" t="s">
        <v>5</v>
      </c>
      <c r="D686" s="16" t="str">
        <f>HYPERLINK("https://freddywills.com/pick/7086/newsletter-play-9-4-ats-this-year-music-city-bowl-purdue-vs-auburn.html", "Purdue +3.5 2.2% play")</f>
        <v>Purdue +3.5 2.2% play</v>
      </c>
      <c r="E686" s="11">
        <v>2.2000000000000002</v>
      </c>
      <c r="F686" s="11">
        <v>-1.1000000000000001</v>
      </c>
      <c r="G686" s="11" t="s">
        <v>6</v>
      </c>
      <c r="H686" s="13">
        <v>-2200</v>
      </c>
      <c r="I686" s="14">
        <f t="shared" si="23"/>
        <v>0.23566549999999983</v>
      </c>
      <c r="J686" s="13">
        <f t="shared" si="24"/>
        <v>295743.42</v>
      </c>
    </row>
    <row r="687" spans="1:10" x14ac:dyDescent="0.25">
      <c r="A687" s="10">
        <v>43462.533333333333</v>
      </c>
      <c r="B687" s="11" t="s">
        <v>8</v>
      </c>
      <c r="C687" s="11" t="s">
        <v>18</v>
      </c>
      <c r="D687" s="16" t="str">
        <f>HYPERLINK("https://freddywills.com/pick/7087/5-5-max-ncaaf-pod-alamo-bowl-guaranteed-or-back.html", "Iowa State +125 5.5% POD")</f>
        <v>Iowa State +125 5.5% POD</v>
      </c>
      <c r="E687" s="11">
        <v>5.5</v>
      </c>
      <c r="F687" s="11">
        <v>1.25</v>
      </c>
      <c r="G687" s="11" t="s">
        <v>6</v>
      </c>
      <c r="H687" s="13">
        <v>-5500</v>
      </c>
      <c r="I687" s="14">
        <f t="shared" si="23"/>
        <v>0.25766549999999983</v>
      </c>
      <c r="J687" s="13">
        <f t="shared" si="24"/>
        <v>297943.42</v>
      </c>
    </row>
    <row r="688" spans="1:10" x14ac:dyDescent="0.25">
      <c r="A688" s="10">
        <v>43461.729166666664</v>
      </c>
      <c r="B688" s="11" t="s">
        <v>8</v>
      </c>
      <c r="C688" s="11" t="s">
        <v>5</v>
      </c>
      <c r="D688" s="16" t="str">
        <f>HYPERLINK("https://freddywills.com/pick/7085/2-2-play-l101-ncaaf-free-picks-pinstripe-bowl.html", "Miami -2.5 2.2% Play ")</f>
        <v xml:space="preserve">Miami -2.5 2.2% Play </v>
      </c>
      <c r="E688" s="11">
        <v>2.2000000000000002</v>
      </c>
      <c r="F688" s="11">
        <v>-1.1000000000000001</v>
      </c>
      <c r="G688" s="11" t="s">
        <v>6</v>
      </c>
      <c r="H688" s="13">
        <v>-2200</v>
      </c>
      <c r="I688" s="14">
        <f t="shared" si="23"/>
        <v>0.31266549999999982</v>
      </c>
      <c r="J688" s="13">
        <f t="shared" si="24"/>
        <v>303443.42</v>
      </c>
    </row>
    <row r="689" spans="1:10" x14ac:dyDescent="0.25">
      <c r="A689" s="10">
        <v>43461.5625</v>
      </c>
      <c r="B689" s="11" t="s">
        <v>8</v>
      </c>
      <c r="C689" s="11" t="s">
        <v>5</v>
      </c>
      <c r="D689" s="16" t="str">
        <f>HYPERLINK("https://freddywills.com/pick/7084/4-5-ncaaf-pod-187-138-l325-ncaaf-4-plays-135-7-roi-since-september-2011.html", "Duke +3.5 -105 4.5% NCAAF POD")</f>
        <v>Duke +3.5 -105 4.5% NCAAF POD</v>
      </c>
      <c r="E689" s="11">
        <v>4.5</v>
      </c>
      <c r="F689" s="11">
        <v>-1.05</v>
      </c>
      <c r="G689" s="11" t="s">
        <v>4</v>
      </c>
      <c r="H689" s="13">
        <v>4285.71</v>
      </c>
      <c r="I689" s="14">
        <f t="shared" si="23"/>
        <v>0.33466549999999984</v>
      </c>
      <c r="J689" s="13">
        <f t="shared" si="24"/>
        <v>305643.42</v>
      </c>
    </row>
    <row r="690" spans="1:10" x14ac:dyDescent="0.25">
      <c r="A690" s="10">
        <v>43460.875</v>
      </c>
      <c r="B690" s="11" t="s">
        <v>8</v>
      </c>
      <c r="C690" s="11" t="s">
        <v>18</v>
      </c>
      <c r="D690" s="16" t="str">
        <f>HYPERLINK("https://freddywills.com/pick/7083/tcu-vs-cal-4-ncaaf-pod-guaranteed-or-back.html", "TCU +105 4% NCAAF POD")</f>
        <v>TCU +105 4% NCAAF POD</v>
      </c>
      <c r="E690" s="11">
        <v>4</v>
      </c>
      <c r="F690" s="11">
        <v>1.05</v>
      </c>
      <c r="G690" s="11" t="s">
        <v>4</v>
      </c>
      <c r="H690" s="13">
        <v>4200</v>
      </c>
      <c r="I690" s="14">
        <f t="shared" si="23"/>
        <v>0.29180839999999986</v>
      </c>
      <c r="J690" s="13">
        <f t="shared" si="24"/>
        <v>301357.70999999996</v>
      </c>
    </row>
    <row r="691" spans="1:10" x14ac:dyDescent="0.25">
      <c r="A691" s="10">
        <v>43460.729166666664</v>
      </c>
      <c r="B691" s="11" t="s">
        <v>8</v>
      </c>
      <c r="C691" s="11" t="s">
        <v>7</v>
      </c>
      <c r="D691" s="16" t="str">
        <f>HYPERLINK("https://freddywills.com/pick/7082/minnesota-vs-georgia-tech-3-3-play-42-22-ats-last-64-3-plays-guaranteed-or-back.html", "Minnesota / GA Tech Over 57 3.3% Play ")</f>
        <v xml:space="preserve">Minnesota / GA Tech Over 57 3.3% Play </v>
      </c>
      <c r="E691" s="11">
        <v>3.3</v>
      </c>
      <c r="F691" s="11">
        <v>-1.1000000000000001</v>
      </c>
      <c r="G691" s="11" t="s">
        <v>6</v>
      </c>
      <c r="H691" s="13">
        <v>-3300</v>
      </c>
      <c r="I691" s="14">
        <f t="shared" si="23"/>
        <v>0.24980839999999985</v>
      </c>
      <c r="J691" s="13">
        <f t="shared" si="24"/>
        <v>297157.70999999996</v>
      </c>
    </row>
    <row r="692" spans="1:10" x14ac:dyDescent="0.25">
      <c r="A692" s="10">
        <v>43460.5625</v>
      </c>
      <c r="B692" s="11" t="s">
        <v>8</v>
      </c>
      <c r="C692" s="11" t="s">
        <v>7</v>
      </c>
      <c r="D692" s="16" t="str">
        <f>HYPERLINK("https://freddywills.com/pick/7080/total-of-the-day-boston-college-vs-boise-state-guaranteed-or-back.html", "BC/Boise Under 51 2.2% play ")</f>
        <v xml:space="preserve">BC/Boise Under 51 2.2% play </v>
      </c>
      <c r="E692" s="11">
        <v>2.2000000000000002</v>
      </c>
      <c r="F692" s="11">
        <v>-1.1000000000000001</v>
      </c>
      <c r="G692" s="11" t="s">
        <v>9</v>
      </c>
      <c r="H692" s="13">
        <v>0</v>
      </c>
      <c r="I692" s="14">
        <f t="shared" si="23"/>
        <v>0.28280839999999985</v>
      </c>
      <c r="J692" s="13">
        <f t="shared" si="24"/>
        <v>300457.70999999996</v>
      </c>
    </row>
    <row r="693" spans="1:10" x14ac:dyDescent="0.25">
      <c r="A693" s="10">
        <v>43460.5625</v>
      </c>
      <c r="B693" s="11" t="s">
        <v>8</v>
      </c>
      <c r="C693" s="11" t="s">
        <v>18</v>
      </c>
      <c r="D693" s="16" t="str">
        <f>HYPERLINK("https://freddywills.com/pick/7081/boston-college-vs-boise-state-side-play-3-play-42-22-run-on-3-plays.html", "Boston College +120 3% play")</f>
        <v>Boston College +120 3% play</v>
      </c>
      <c r="E693" s="11">
        <v>3</v>
      </c>
      <c r="F693" s="11">
        <v>1.2</v>
      </c>
      <c r="G693" s="11" t="s">
        <v>9</v>
      </c>
      <c r="H693" s="13">
        <v>0</v>
      </c>
      <c r="I693" s="14">
        <f t="shared" si="23"/>
        <v>0.28280839999999985</v>
      </c>
      <c r="J693" s="13">
        <f t="shared" si="24"/>
        <v>300457.70999999996</v>
      </c>
    </row>
    <row r="694" spans="1:10" x14ac:dyDescent="0.25">
      <c r="A694" s="10">
        <v>43458.861111111109</v>
      </c>
      <c r="B694" s="11" t="s">
        <v>2</v>
      </c>
      <c r="C694" s="11" t="s">
        <v>7</v>
      </c>
      <c r="D694" s="16" t="str">
        <f>HYPERLINK("https://freddywills.com/pick/7076/monday-night-football-guaranteed-or-back-3-3-play-30-15-ats-l45-3-nfl-plays.html", "Broncos / Raiders O43 3.3% play ")</f>
        <v xml:space="preserve">Broncos / Raiders O43 3.3% play </v>
      </c>
      <c r="E694" s="11">
        <v>3.3</v>
      </c>
      <c r="F694" s="11">
        <v>-1.1000000000000001</v>
      </c>
      <c r="G694" s="11" t="s">
        <v>6</v>
      </c>
      <c r="H694" s="13">
        <v>-3300</v>
      </c>
      <c r="I694" s="14">
        <f t="shared" si="23"/>
        <v>0.28280839999999985</v>
      </c>
      <c r="J694" s="13">
        <f t="shared" si="24"/>
        <v>300457.70999999996</v>
      </c>
    </row>
    <row r="695" spans="1:10" x14ac:dyDescent="0.25">
      <c r="A695" s="10">
        <v>43457.847222222219</v>
      </c>
      <c r="B695" s="11" t="s">
        <v>2</v>
      </c>
      <c r="C695" s="11" t="s">
        <v>18</v>
      </c>
      <c r="D695" s="16" t="str">
        <f>HYPERLINK("https://freddywills.com/pick/7075/money-line-dog-of-the-week-33-32-l65-ml-dog-nfl-picks-51-roi.html", "Seahawks +115 2.5 % DOG play")</f>
        <v>Seahawks +115 2.5 % DOG play</v>
      </c>
      <c r="E695" s="11">
        <v>2.5</v>
      </c>
      <c r="F695" s="11">
        <v>1.1499999999999999</v>
      </c>
      <c r="G695" s="11" t="s">
        <v>4</v>
      </c>
      <c r="H695" s="13">
        <v>2875</v>
      </c>
      <c r="I695" s="14">
        <f t="shared" si="23"/>
        <v>0.31580839999999988</v>
      </c>
      <c r="J695" s="13">
        <f t="shared" si="24"/>
        <v>303757.70999999996</v>
      </c>
    </row>
    <row r="696" spans="1:10" x14ac:dyDescent="0.25">
      <c r="A696" s="10">
        <v>43457.684027777781</v>
      </c>
      <c r="B696" s="11" t="s">
        <v>2</v>
      </c>
      <c r="C696" s="11" t="s">
        <v>5</v>
      </c>
      <c r="D696" s="16" t="str">
        <f>HYPERLINK("https://freddywills.com/pick/7074/nfl-free-play-64-l50-free-sports-picks-66-l50-free-nfl-picks.html", "49ers +4.5 1.1% Free play ")</f>
        <v xml:space="preserve">49ers +4.5 1.1% Free play </v>
      </c>
      <c r="E696" s="11">
        <v>1.1000000000000001</v>
      </c>
      <c r="F696" s="11">
        <v>-1.1000000000000001</v>
      </c>
      <c r="G696" s="11" t="s">
        <v>6</v>
      </c>
      <c r="H696" s="13">
        <v>-1100</v>
      </c>
      <c r="I696" s="14">
        <f t="shared" si="23"/>
        <v>0.28705839999999988</v>
      </c>
      <c r="J696" s="13">
        <f t="shared" si="24"/>
        <v>300882.70999999996</v>
      </c>
    </row>
    <row r="697" spans="1:10" x14ac:dyDescent="0.25">
      <c r="A697" s="10">
        <v>43457.541666666664</v>
      </c>
      <c r="B697" s="11" t="s">
        <v>2</v>
      </c>
      <c r="C697" s="11" t="s">
        <v>7</v>
      </c>
      <c r="D697" s="16" t="str">
        <f>HYPERLINK("https://freddywills.com/pick/7072/3-3-nfl-total-of-the-week-65-47-last-112-nfl-plays.html", "Browns / Bengals Under 44 3.3% play ")</f>
        <v xml:space="preserve">Browns / Bengals Under 44 3.3% play </v>
      </c>
      <c r="E697" s="11">
        <v>3.3</v>
      </c>
      <c r="F697" s="11">
        <v>-1.1000000000000001</v>
      </c>
      <c r="G697" s="11" t="s">
        <v>9</v>
      </c>
      <c r="H697" s="13">
        <v>0</v>
      </c>
      <c r="I697" s="14">
        <f t="shared" si="23"/>
        <v>0.29805839999999989</v>
      </c>
      <c r="J697" s="13">
        <f t="shared" si="24"/>
        <v>301982.70999999996</v>
      </c>
    </row>
    <row r="698" spans="1:10" x14ac:dyDescent="0.25">
      <c r="A698" s="10">
        <v>43457.541666666664</v>
      </c>
      <c r="B698" s="11" t="s">
        <v>2</v>
      </c>
      <c r="C698" s="11" t="s">
        <v>5</v>
      </c>
      <c r="D698" s="16" t="str">
        <f>HYPERLINK("https://freddywills.com/pick/7073/5-5-max-rated-nfl-pod-42-25-ats-l67-max-rated-nfl-pod-s.html", "Packers -2.5 -115 5.5% NFL POD")</f>
        <v>Packers -2.5 -115 5.5% NFL POD</v>
      </c>
      <c r="E698" s="11">
        <v>5.5</v>
      </c>
      <c r="F698" s="11">
        <v>-1.1499999999999999</v>
      </c>
      <c r="G698" s="11" t="s">
        <v>4</v>
      </c>
      <c r="H698" s="13">
        <v>4783</v>
      </c>
      <c r="I698" s="14">
        <f t="shared" si="23"/>
        <v>0.29805839999999989</v>
      </c>
      <c r="J698" s="13">
        <f t="shared" si="24"/>
        <v>301982.70999999996</v>
      </c>
    </row>
    <row r="699" spans="1:10" x14ac:dyDescent="0.25">
      <c r="A699" s="10">
        <v>43457.541666666664</v>
      </c>
      <c r="B699" s="11" t="s">
        <v>2</v>
      </c>
      <c r="C699" s="11" t="s">
        <v>10</v>
      </c>
      <c r="D699" s="16" t="str">
        <f>HYPERLINK("https://freddywills.com/pick/7077/nfl-teaser-of-the-week-86-62-l148-teasers-61-63-roi-guaranteed-or-back.html", "Vikings -0.5/ Texans +8.5 4.4% Teaser")</f>
        <v>Vikings -0.5/ Texans +8.5 4.4% Teaser</v>
      </c>
      <c r="E699" s="11">
        <v>4.4000000000000004</v>
      </c>
      <c r="F699" s="11">
        <v>-1.1000000000000001</v>
      </c>
      <c r="G699" s="11" t="s">
        <v>4</v>
      </c>
      <c r="H699" s="13">
        <v>4000</v>
      </c>
      <c r="I699" s="14">
        <f t="shared" si="23"/>
        <v>0.25022839999999991</v>
      </c>
      <c r="J699" s="13">
        <f t="shared" si="24"/>
        <v>297199.70999999996</v>
      </c>
    </row>
    <row r="700" spans="1:10" x14ac:dyDescent="0.25">
      <c r="A700" s="10">
        <v>43457.541666666664</v>
      </c>
      <c r="B700" s="11" t="s">
        <v>2</v>
      </c>
      <c r="C700" s="11" t="s">
        <v>5</v>
      </c>
      <c r="D700" s="16" t="str">
        <f>HYPERLINK("https://freddywills.com/pick/7079/3-3-early-bird-special-guaranteed-or-back.html", "Dolphins -3 3.3% play ")</f>
        <v xml:space="preserve">Dolphins -3 3.3% play </v>
      </c>
      <c r="E700" s="11">
        <v>3.3</v>
      </c>
      <c r="F700" s="11">
        <v>-1.1000000000000001</v>
      </c>
      <c r="G700" s="11" t="s">
        <v>6</v>
      </c>
      <c r="H700" s="13">
        <v>-3300</v>
      </c>
      <c r="I700" s="14">
        <f t="shared" si="23"/>
        <v>0.21022839999999993</v>
      </c>
      <c r="J700" s="13">
        <f t="shared" si="24"/>
        <v>293199.70999999996</v>
      </c>
    </row>
    <row r="701" spans="1:10" x14ac:dyDescent="0.25">
      <c r="A701" s="10">
        <v>43456.9375</v>
      </c>
      <c r="B701" s="11" t="s">
        <v>8</v>
      </c>
      <c r="C701" s="11" t="s">
        <v>18</v>
      </c>
      <c r="D701" s="16" t="str">
        <f>HYPERLINK("https://freddywills.com/pick/7071/hawaii-bowl-guaranteed-or-back-4-play-185-137-ats-l322-4-plays.html", "Louisiana Tech +100 4% play ")</f>
        <v xml:space="preserve">Louisiana Tech +100 4% play </v>
      </c>
      <c r="E701" s="11">
        <v>4</v>
      </c>
      <c r="F701" s="11">
        <v>1</v>
      </c>
      <c r="G701" s="11" t="s">
        <v>4</v>
      </c>
      <c r="H701" s="13">
        <v>4000</v>
      </c>
      <c r="I701" s="14">
        <f t="shared" si="23"/>
        <v>0.24322839999999993</v>
      </c>
      <c r="J701" s="13">
        <f t="shared" si="24"/>
        <v>296499.70999999996</v>
      </c>
    </row>
    <row r="702" spans="1:10" x14ac:dyDescent="0.25">
      <c r="A702" s="10">
        <v>43456.645833333336</v>
      </c>
      <c r="B702" s="11" t="s">
        <v>8</v>
      </c>
      <c r="C702" s="11" t="s">
        <v>5</v>
      </c>
      <c r="D702" s="16" t="str">
        <f>HYPERLINK("https://freddywills.com/pick/7070/1-1-free-play-army-vs-houston-61-40-l101-free-ncaaf-picks.html", "Army -5 1.1% Free Play ")</f>
        <v xml:space="preserve">Army -5 1.1% Free Play </v>
      </c>
      <c r="E702" s="11">
        <v>1.1000000000000001</v>
      </c>
      <c r="F702" s="11">
        <v>-1.1000000000000001</v>
      </c>
      <c r="G702" s="11" t="s">
        <v>4</v>
      </c>
      <c r="H702" s="13">
        <v>1000</v>
      </c>
      <c r="I702" s="14">
        <f t="shared" si="23"/>
        <v>0.20322839999999992</v>
      </c>
      <c r="J702" s="13">
        <f t="shared" si="24"/>
        <v>292499.70999999996</v>
      </c>
    </row>
    <row r="703" spans="1:10" x14ac:dyDescent="0.25">
      <c r="A703" s="10">
        <v>43456.5</v>
      </c>
      <c r="B703" s="11" t="s">
        <v>8</v>
      </c>
      <c r="C703" s="11" t="s">
        <v>18</v>
      </c>
      <c r="D703" s="16" t="str">
        <f>HYPERLINK("https://freddywills.com/pick/7069/5-5-max-ncaaf-pod-going-saturday-wake-forest-vs-memphis-guaranteed-or-back.html", "Wake Forest +145 5.5% MAX POD")</f>
        <v>Wake Forest +145 5.5% MAX POD</v>
      </c>
      <c r="E703" s="11">
        <v>5.5</v>
      </c>
      <c r="F703" s="11">
        <v>1.45</v>
      </c>
      <c r="G703" s="11" t="s">
        <v>4</v>
      </c>
      <c r="H703" s="13">
        <v>7975</v>
      </c>
      <c r="I703" s="14">
        <f t="shared" si="23"/>
        <v>0.19322839999999991</v>
      </c>
      <c r="J703" s="13">
        <f t="shared" si="24"/>
        <v>291499.70999999996</v>
      </c>
    </row>
    <row r="704" spans="1:10" x14ac:dyDescent="0.25">
      <c r="A704" s="10">
        <v>43455.520833333336</v>
      </c>
      <c r="B704" s="11" t="s">
        <v>8</v>
      </c>
      <c r="C704" s="11" t="s">
        <v>7</v>
      </c>
      <c r="D704" s="16" t="str">
        <f>HYPERLINK("https://freddywills.com/pick/7065/bahamas-bowl-fiu-vs-toledo-guaranteed-or-back.html", "FIU / Toledo Under 62 3.3% play ")</f>
        <v xml:space="preserve">FIU / Toledo Under 62 3.3% play </v>
      </c>
      <c r="E704" s="11">
        <v>3.3</v>
      </c>
      <c r="F704" s="11">
        <v>-1.1000000000000001</v>
      </c>
      <c r="G704" s="11" t="s">
        <v>6</v>
      </c>
      <c r="H704" s="13">
        <v>-3300</v>
      </c>
      <c r="I704" s="14">
        <f t="shared" si="23"/>
        <v>0.1134783999999999</v>
      </c>
      <c r="J704" s="13">
        <f t="shared" si="24"/>
        <v>283524.70999999996</v>
      </c>
    </row>
    <row r="705" spans="1:10" x14ac:dyDescent="0.25">
      <c r="A705" s="10">
        <v>43454.839583333334</v>
      </c>
      <c r="B705" s="11" t="s">
        <v>8</v>
      </c>
      <c r="C705" s="11" t="s">
        <v>5</v>
      </c>
      <c r="D705" s="16" t="str">
        <f>HYPERLINK("https://freddywills.com/pick/7066/4-4-ncaaf-pod-gasparilla-bowl-game-marshall-vs-usf.html", "Marshall / USF Under 53 4.4% POD")</f>
        <v>Marshall / USF Under 53 4.4% POD</v>
      </c>
      <c r="E705" s="11">
        <v>4.4000000000000004</v>
      </c>
      <c r="F705" s="11">
        <v>-1.1000000000000001</v>
      </c>
      <c r="G705" s="11" t="s">
        <v>6</v>
      </c>
      <c r="H705" s="13">
        <v>-4400</v>
      </c>
      <c r="I705" s="14">
        <f t="shared" si="23"/>
        <v>0.1464783999999999</v>
      </c>
      <c r="J705" s="13">
        <f t="shared" si="24"/>
        <v>286824.70999999996</v>
      </c>
    </row>
    <row r="706" spans="1:10" x14ac:dyDescent="0.25">
      <c r="A706" s="10">
        <v>43453.634027777778</v>
      </c>
      <c r="B706" s="11" t="s">
        <v>8</v>
      </c>
      <c r="C706" s="11" t="s">
        <v>18</v>
      </c>
      <c r="D706" s="16" t="str">
        <f>HYPERLINK("https://freddywills.com/pick/7068/frisco-bowl-ohio-vs-sdstate-guaranteed-or-back.html", "San Diego State +120 2.5% play ")</f>
        <v xml:space="preserve">San Diego State +120 2.5% play </v>
      </c>
      <c r="E706" s="11">
        <v>2.5</v>
      </c>
      <c r="F706" s="11">
        <v>1.2</v>
      </c>
      <c r="G706" s="11" t="s">
        <v>6</v>
      </c>
      <c r="H706" s="13">
        <v>-2500</v>
      </c>
      <c r="I706" s="14">
        <f t="shared" si="23"/>
        <v>0.19047839999999991</v>
      </c>
      <c r="J706" s="13">
        <f t="shared" si="24"/>
        <v>291224.70999999996</v>
      </c>
    </row>
    <row r="707" spans="1:10" x14ac:dyDescent="0.25">
      <c r="A707" s="10">
        <v>43452.791666666664</v>
      </c>
      <c r="B707" s="11" t="s">
        <v>8</v>
      </c>
      <c r="C707" s="11" t="s">
        <v>18</v>
      </c>
      <c r="D707" s="16" t="str">
        <f>HYPERLINK("https://freddywills.com/pick/7067/5-5-max-ncaaf-pod-guaranteed-or-back-32-6-1-ats-career-december-on-max-ncaaf-pod.html", "Northern Illinois +120 5.5% POD")</f>
        <v>Northern Illinois +120 5.5% POD</v>
      </c>
      <c r="E707" s="11">
        <v>5.5</v>
      </c>
      <c r="F707" s="11">
        <v>1.2</v>
      </c>
      <c r="G707" s="11" t="s">
        <v>6</v>
      </c>
      <c r="H707" s="13">
        <v>-5500</v>
      </c>
      <c r="I707" s="14">
        <f t="shared" si="23"/>
        <v>0.2154783999999999</v>
      </c>
      <c r="J707" s="13">
        <f t="shared" si="24"/>
        <v>293724.70999999996</v>
      </c>
    </row>
    <row r="708" spans="1:10" x14ac:dyDescent="0.25">
      <c r="A708" s="10">
        <v>43451.850694444445</v>
      </c>
      <c r="B708" s="11" t="s">
        <v>2</v>
      </c>
      <c r="C708" s="11" t="s">
        <v>5</v>
      </c>
      <c r="D708" s="16" t="str">
        <f>HYPERLINK("https://freddywills.com/pick/7064/monday-night-football-66-45-last-111-nfl-picks-guaranteed-or-back.html", "Panthers +6.5 3.3% Play ")</f>
        <v xml:space="preserve">Panthers +6.5 3.3% Play </v>
      </c>
      <c r="E708" s="11">
        <v>3.3</v>
      </c>
      <c r="F708" s="11">
        <v>-1.1000000000000001</v>
      </c>
      <c r="G708" s="11" t="s">
        <v>4</v>
      </c>
      <c r="H708" s="13">
        <v>3000</v>
      </c>
      <c r="I708" s="14">
        <f t="shared" si="23"/>
        <v>0.2704783999999999</v>
      </c>
      <c r="J708" s="13">
        <f t="shared" si="24"/>
        <v>299224.70999999996</v>
      </c>
    </row>
    <row r="709" spans="1:10" x14ac:dyDescent="0.25">
      <c r="A709" s="10">
        <v>43450.684027777781</v>
      </c>
      <c r="B709" s="11" t="s">
        <v>2</v>
      </c>
      <c r="C709" s="11" t="s">
        <v>5</v>
      </c>
      <c r="D709" s="16" t="str">
        <f>HYPERLINK("https://freddywills.com/pick/7061/5-5-max-nfl-pod-41-25-ats-l66-max-nfl-pod-s-guaranteed-or-back.html", "49ers +3.5 5.5% NFL POD")</f>
        <v>49ers +3.5 5.5% NFL POD</v>
      </c>
      <c r="E709" s="11">
        <v>5.5</v>
      </c>
      <c r="F709" s="11">
        <v>-1.1000000000000001</v>
      </c>
      <c r="G709" s="11" t="s">
        <v>4</v>
      </c>
      <c r="H709" s="13">
        <v>5000</v>
      </c>
      <c r="I709" s="14">
        <f t="shared" si="23"/>
        <v>0.24047839999999987</v>
      </c>
      <c r="J709" s="13">
        <f t="shared" si="24"/>
        <v>296224.70999999996</v>
      </c>
    </row>
    <row r="710" spans="1:10" x14ac:dyDescent="0.25">
      <c r="A710" s="10">
        <v>43450.684027777781</v>
      </c>
      <c r="B710" s="11" t="s">
        <v>2</v>
      </c>
      <c r="C710" s="11" t="s">
        <v>18</v>
      </c>
      <c r="D710" s="16" t="str">
        <f>HYPERLINK("https://freddywills.com/pick/7062/money-line-dog-of-the-week-32-32-l64-ml-dogs-47-roi.html", "Steelers +130 3% play")</f>
        <v>Steelers +130 3% play</v>
      </c>
      <c r="E710" s="11">
        <v>3</v>
      </c>
      <c r="F710" s="11">
        <v>1.3</v>
      </c>
      <c r="G710" s="11" t="s">
        <v>4</v>
      </c>
      <c r="H710" s="13">
        <v>3900</v>
      </c>
      <c r="I710" s="14">
        <f t="shared" si="23"/>
        <v>0.19047839999999985</v>
      </c>
      <c r="J710" s="13">
        <f t="shared" si="24"/>
        <v>291224.70999999996</v>
      </c>
    </row>
    <row r="711" spans="1:10" x14ac:dyDescent="0.25">
      <c r="A711" s="10">
        <v>43450.541666666664</v>
      </c>
      <c r="B711" s="11" t="s">
        <v>2</v>
      </c>
      <c r="C711" s="11" t="s">
        <v>5</v>
      </c>
      <c r="D711" s="16" t="str">
        <f>HYPERLINK("https://freddywills.com/pick/7059/3-5-nfl-pick-62-44-63-889-l-106-nfl-guaranteed-or-back.html", "Colts -3 -115 3.5% play ")</f>
        <v xml:space="preserve">Colts -3 -115 3.5% play </v>
      </c>
      <c r="E711" s="11">
        <v>3.5</v>
      </c>
      <c r="F711" s="11">
        <v>-1.1499999999999999</v>
      </c>
      <c r="G711" s="11" t="s">
        <v>4</v>
      </c>
      <c r="H711" s="13">
        <v>3043.48</v>
      </c>
      <c r="I711" s="14">
        <f t="shared" si="23"/>
        <v>0.15147839999999985</v>
      </c>
      <c r="J711" s="13">
        <f t="shared" si="24"/>
        <v>287324.70999999996</v>
      </c>
    </row>
    <row r="712" spans="1:10" x14ac:dyDescent="0.25">
      <c r="A712" s="10">
        <v>43450.541666666664</v>
      </c>
      <c r="B712" s="11" t="s">
        <v>2</v>
      </c>
      <c r="C712" s="11" t="s">
        <v>5</v>
      </c>
      <c r="D712" s="16" t="str">
        <f>HYPERLINK("https://freddywills.com/pick/7060/3-3-early-bird-special-guaranteed-or-back-bills-vs-lions.html", "Bills -2.5 -115 3.3% Play ")</f>
        <v xml:space="preserve">Bills -2.5 -115 3.3% Play </v>
      </c>
      <c r="E712" s="11">
        <v>3.3</v>
      </c>
      <c r="F712" s="11">
        <v>-1.1499999999999999</v>
      </c>
      <c r="G712" s="11" t="s">
        <v>6</v>
      </c>
      <c r="H712" s="13">
        <v>-3300</v>
      </c>
      <c r="I712" s="14">
        <f t="shared" si="23"/>
        <v>0.12104359999999983</v>
      </c>
      <c r="J712" s="13">
        <f t="shared" si="24"/>
        <v>284281.23</v>
      </c>
    </row>
    <row r="713" spans="1:10" x14ac:dyDescent="0.25">
      <c r="A713" s="10">
        <v>43450.541666666664</v>
      </c>
      <c r="B713" s="11" t="s">
        <v>2</v>
      </c>
      <c r="C713" s="11" t="s">
        <v>5</v>
      </c>
      <c r="D713" s="16" t="str">
        <f>HYPERLINK("https://freddywills.com/pick/7063/1-1-free-play-titans-vs-giants-45-24-l69-free-nfl-picks.html", "Titans -1.5 1.1% Free Play")</f>
        <v>Titans -1.5 1.1% Free Play</v>
      </c>
      <c r="E713" s="11">
        <v>1.1000000000000001</v>
      </c>
      <c r="F713" s="11">
        <v>-1.1000000000000001</v>
      </c>
      <c r="G713" s="11" t="s">
        <v>4</v>
      </c>
      <c r="H713" s="13">
        <v>1000</v>
      </c>
      <c r="I713" s="14">
        <f t="shared" ref="I713:I776" si="25">(H713/100000)+I714</f>
        <v>0.15404359999999984</v>
      </c>
      <c r="J713" s="13">
        <f t="shared" ref="J713:J776" si="26">H713+J714</f>
        <v>287581.23</v>
      </c>
    </row>
    <row r="714" spans="1:10" x14ac:dyDescent="0.25">
      <c r="A714" s="10">
        <v>43449.875</v>
      </c>
      <c r="B714" s="11" t="s">
        <v>8</v>
      </c>
      <c r="C714" s="11" t="s">
        <v>5</v>
      </c>
      <c r="D714" s="16" t="str">
        <f>HYPERLINK("https://freddywills.com/pick/7055/5-5-ncaaf-max-pod-32-5-1-ats-career-in-december.html", "Middle Tenn +6.5 5.5% POD")</f>
        <v>Middle Tenn +6.5 5.5% POD</v>
      </c>
      <c r="E714" s="11">
        <v>5.5</v>
      </c>
      <c r="F714" s="11">
        <v>-1.1000000000000001</v>
      </c>
      <c r="G714" s="11" t="s">
        <v>6</v>
      </c>
      <c r="H714" s="13">
        <v>-5500</v>
      </c>
      <c r="I714" s="14">
        <f t="shared" si="25"/>
        <v>0.14404359999999983</v>
      </c>
      <c r="J714" s="13">
        <f t="shared" si="26"/>
        <v>286581.23</v>
      </c>
    </row>
    <row r="715" spans="1:10" x14ac:dyDescent="0.25">
      <c r="A715" s="10">
        <v>43449.729166666664</v>
      </c>
      <c r="B715" s="11" t="s">
        <v>8</v>
      </c>
      <c r="C715" s="11" t="s">
        <v>5</v>
      </c>
      <c r="D715" s="16" t="str">
        <f>HYPERLINK("https://freddywills.com/pick/7058/cameliabowl-emu-vs-gasouthern-guaranteed-4-play.html", "Eastern Michigan +3.5 -120 4% Play")</f>
        <v>Eastern Michigan +3.5 -120 4% Play</v>
      </c>
      <c r="E715" s="11">
        <v>4</v>
      </c>
      <c r="F715" s="11">
        <v>-1.2</v>
      </c>
      <c r="G715" s="11" t="s">
        <v>4</v>
      </c>
      <c r="H715" s="13">
        <v>3333.33</v>
      </c>
      <c r="I715" s="14">
        <f t="shared" si="25"/>
        <v>0.19904359999999982</v>
      </c>
      <c r="J715" s="13">
        <f t="shared" si="26"/>
        <v>292081.23</v>
      </c>
    </row>
    <row r="716" spans="1:10" x14ac:dyDescent="0.25">
      <c r="A716" s="10">
        <v>43449.645833333336</v>
      </c>
      <c r="B716" s="11" t="s">
        <v>8</v>
      </c>
      <c r="C716" s="11" t="s">
        <v>7</v>
      </c>
      <c r="D716" s="16" t="str">
        <f>HYPERLINK("https://freddywills.com/pick/7056/total-of-the-week-arizona-state-vs-fresno-state-guaranteed-or-back.html", "ASU / Fresno Under 54 3.3% play ")</f>
        <v xml:space="preserve">ASU / Fresno Under 54 3.3% play </v>
      </c>
      <c r="E716" s="11">
        <v>3.3</v>
      </c>
      <c r="F716" s="11">
        <v>-1.1000000000000001</v>
      </c>
      <c r="G716" s="11" t="s">
        <v>4</v>
      </c>
      <c r="H716" s="13">
        <v>3000</v>
      </c>
      <c r="I716" s="14">
        <f t="shared" si="25"/>
        <v>0.16571029999999984</v>
      </c>
      <c r="J716" s="13">
        <f t="shared" si="26"/>
        <v>288747.89999999997</v>
      </c>
    </row>
    <row r="717" spans="1:10" x14ac:dyDescent="0.25">
      <c r="A717" s="10">
        <v>43449.5625</v>
      </c>
      <c r="B717" s="11" t="s">
        <v>8</v>
      </c>
      <c r="C717" s="11" t="s">
        <v>7</v>
      </c>
      <c r="D717" s="16" t="str">
        <f>HYPERLINK("https://freddywills.com/pick/7057/cure-bowl-play-louisiana-vs-tulane-guaranteed-or-back.html", "Tulane / Louisiana Over 61 3.3% play ")</f>
        <v xml:space="preserve">Tulane / Louisiana Over 61 3.3% play </v>
      </c>
      <c r="E717" s="11">
        <v>3.3</v>
      </c>
      <c r="F717" s="11">
        <v>-1.1000000000000001</v>
      </c>
      <c r="G717" s="11" t="s">
        <v>4</v>
      </c>
      <c r="H717" s="13">
        <v>3000</v>
      </c>
      <c r="I717" s="14">
        <f t="shared" si="25"/>
        <v>0.13571029999999984</v>
      </c>
      <c r="J717" s="13">
        <f t="shared" si="26"/>
        <v>285747.89999999997</v>
      </c>
    </row>
    <row r="718" spans="1:10" x14ac:dyDescent="0.25">
      <c r="A718" s="10">
        <v>43443.850694444445</v>
      </c>
      <c r="B718" s="11" t="s">
        <v>2</v>
      </c>
      <c r="C718" s="11" t="s">
        <v>5</v>
      </c>
      <c r="D718" s="16" t="str">
        <f>HYPERLINK("https://freddywills.com/pick/7054/sunday-night-football-3-3-play-guaranteed-or-back-57-44-last-101-nfl-plays-overall.html", "Bears +3 3.3% play ")</f>
        <v xml:space="preserve">Bears +3 3.3% play </v>
      </c>
      <c r="E718" s="11">
        <v>3.3</v>
      </c>
      <c r="F718" s="11">
        <v>-1.1000000000000001</v>
      </c>
      <c r="G718" s="11" t="s">
        <v>4</v>
      </c>
      <c r="H718" s="13">
        <v>3000</v>
      </c>
      <c r="I718" s="14">
        <f t="shared" si="25"/>
        <v>0.10571029999999984</v>
      </c>
      <c r="J718" s="13">
        <f t="shared" si="26"/>
        <v>282747.89999999997</v>
      </c>
    </row>
    <row r="719" spans="1:10" x14ac:dyDescent="0.25">
      <c r="A719" s="10">
        <v>43443.684027777781</v>
      </c>
      <c r="B719" s="11" t="s">
        <v>2</v>
      </c>
      <c r="C719" s="11" t="s">
        <v>5</v>
      </c>
      <c r="D719" s="16" t="str">
        <f>HYPERLINK("https://freddywills.com/pick/7052/raiders-vs-steelers-3-3-play-guaranteed-or-back-36-24-ats-l60-nfl-3-plays.html", "Raiders +10 3.3% play ")</f>
        <v xml:space="preserve">Raiders +10 3.3% play </v>
      </c>
      <c r="E719" s="11">
        <v>3.3</v>
      </c>
      <c r="F719" s="11">
        <v>-1.1000000000000001</v>
      </c>
      <c r="G719" s="11" t="s">
        <v>4</v>
      </c>
      <c r="H719" s="13">
        <v>3000</v>
      </c>
      <c r="I719" s="14">
        <f t="shared" si="25"/>
        <v>7.5710299999999842E-2</v>
      </c>
      <c r="J719" s="13">
        <f t="shared" si="26"/>
        <v>279747.89999999997</v>
      </c>
    </row>
    <row r="720" spans="1:10" x14ac:dyDescent="0.25">
      <c r="A720" s="10">
        <v>43443.541666666664</v>
      </c>
      <c r="B720" s="11" t="s">
        <v>2</v>
      </c>
      <c r="C720" s="11" t="s">
        <v>5</v>
      </c>
      <c r="D720" s="16" t="str">
        <f>HYPERLINK("https://freddywills.com/pick/7050/5-5-nfl-pod-guaranteed-or-back-goes-early.html", "Colts +4.5 5.5% NFL POD")</f>
        <v>Colts +4.5 5.5% NFL POD</v>
      </c>
      <c r="E720" s="11">
        <v>5.5</v>
      </c>
      <c r="F720" s="11">
        <v>-1.1000000000000001</v>
      </c>
      <c r="G720" s="11" t="s">
        <v>4</v>
      </c>
      <c r="H720" s="13">
        <v>5000</v>
      </c>
      <c r="I720" s="14">
        <f t="shared" si="25"/>
        <v>4.571029999999985E-2</v>
      </c>
      <c r="J720" s="13">
        <f t="shared" si="26"/>
        <v>276747.89999999997</v>
      </c>
    </row>
    <row r="721" spans="1:10" x14ac:dyDescent="0.25">
      <c r="A721" s="10">
        <v>43443.541666666664</v>
      </c>
      <c r="B721" s="11" t="s">
        <v>2</v>
      </c>
      <c r="C721" s="11" t="s">
        <v>5</v>
      </c>
      <c r="D721" s="16" t="str">
        <f>HYPERLINK("https://freddywills.com/pick/7051/31-17-ats-l48-free-nfl-picks-1-1-free-play-ravens-vs-chiefs.html", "Ravens +6 1.1% Free PLay ")</f>
        <v xml:space="preserve">Ravens +6 1.1% Free PLay </v>
      </c>
      <c r="E721" s="11">
        <v>1.1000000000000001</v>
      </c>
      <c r="F721" s="11">
        <v>-1.1000000000000001</v>
      </c>
      <c r="G721" s="11" t="s">
        <v>4</v>
      </c>
      <c r="H721" s="13">
        <v>1000</v>
      </c>
      <c r="I721" s="14">
        <f t="shared" si="25"/>
        <v>-4.2897000000001548E-3</v>
      </c>
      <c r="J721" s="13">
        <f t="shared" si="26"/>
        <v>271747.89999999997</v>
      </c>
    </row>
    <row r="722" spans="1:10" x14ac:dyDescent="0.25">
      <c r="A722" s="10">
        <v>43443.541666666664</v>
      </c>
      <c r="B722" s="11" t="s">
        <v>2</v>
      </c>
      <c r="C722" s="11" t="s">
        <v>10</v>
      </c>
      <c r="D722" s="16" t="str">
        <f>HYPERLINK("https://freddywills.com/pick/7053/3-3-teaser-of-the-week-85-62-l147-sport-teasers.html", "Dolphins +15 / 49ers +9.5 3.3% Teaser")</f>
        <v>Dolphins +15 / 49ers +9.5 3.3% Teaser</v>
      </c>
      <c r="E722" s="11">
        <v>3.3</v>
      </c>
      <c r="F722" s="11">
        <v>-1.1000000000000001</v>
      </c>
      <c r="G722" s="11" t="s">
        <v>4</v>
      </c>
      <c r="H722" s="13">
        <v>3000</v>
      </c>
      <c r="I722" s="14">
        <f t="shared" si="25"/>
        <v>-1.4289700000000155E-2</v>
      </c>
      <c r="J722" s="13">
        <f t="shared" si="26"/>
        <v>270747.89999999997</v>
      </c>
    </row>
    <row r="723" spans="1:10" x14ac:dyDescent="0.25">
      <c r="A723" s="10">
        <v>43442.625</v>
      </c>
      <c r="B723" s="11" t="s">
        <v>8</v>
      </c>
      <c r="C723" s="11" t="s">
        <v>5</v>
      </c>
      <c r="D723" s="16" t="str">
        <f>HYPERLINK("https://freddywills.com/pick/7049/5-5-max-ncaaf-pod-32-5-ats-career-in-december-army-vs-navy.html", "Navy +7 5.5% MAX POD")</f>
        <v>Navy +7 5.5% MAX POD</v>
      </c>
      <c r="E723" s="11">
        <v>5.5</v>
      </c>
      <c r="F723" s="11">
        <v>-1.1000000000000001</v>
      </c>
      <c r="G723" s="11" t="s">
        <v>9</v>
      </c>
      <c r="H723" s="13">
        <v>0</v>
      </c>
      <c r="I723" s="14">
        <f t="shared" si="25"/>
        <v>-4.4289700000000154E-2</v>
      </c>
      <c r="J723" s="13">
        <f t="shared" si="26"/>
        <v>267747.89999999997</v>
      </c>
    </row>
    <row r="724" spans="1:10" x14ac:dyDescent="0.25">
      <c r="A724" s="10">
        <v>43436.847222222219</v>
      </c>
      <c r="B724" s="11" t="s">
        <v>2</v>
      </c>
      <c r="C724" s="11" t="s">
        <v>5</v>
      </c>
      <c r="D724" s="16" t="str">
        <f>HYPERLINK("https://freddywills.com/pick/7043/5-5-nfl-pod-40-24-ats-l64-max-rated-nfl-pod-s-guaranteed-or-back.html", "Steelers -3 5.5% NFL POD")</f>
        <v>Steelers -3 5.5% NFL POD</v>
      </c>
      <c r="E724" s="11">
        <v>5.5</v>
      </c>
      <c r="F724" s="11">
        <v>-1.1000000000000001</v>
      </c>
      <c r="G724" s="11" t="s">
        <v>6</v>
      </c>
      <c r="H724" s="13">
        <v>-5500</v>
      </c>
      <c r="I724" s="14">
        <f t="shared" si="25"/>
        <v>-4.4289700000000154E-2</v>
      </c>
      <c r="J724" s="13">
        <f t="shared" si="26"/>
        <v>267747.89999999997</v>
      </c>
    </row>
    <row r="725" spans="1:10" x14ac:dyDescent="0.25">
      <c r="A725" s="10">
        <v>43436.543055555558</v>
      </c>
      <c r="B725" s="11" t="s">
        <v>2</v>
      </c>
      <c r="C725" s="11" t="s">
        <v>5</v>
      </c>
      <c r="D725" s="16" t="str">
        <f>HYPERLINK("https://freddywills.com/pick/7048/1-1-free-nfl-pick-44-23-l67-free-nfl-plays.html", "Lions +10 1.1% Free Play ")</f>
        <v xml:space="preserve">Lions +10 1.1% Free Play </v>
      </c>
      <c r="E725" s="11">
        <v>1.1000000000000001</v>
      </c>
      <c r="F725" s="11">
        <v>-1.1000000000000001</v>
      </c>
      <c r="G725" s="11" t="s">
        <v>6</v>
      </c>
      <c r="H725" s="13">
        <v>-1100</v>
      </c>
      <c r="I725" s="14">
        <f t="shared" si="25"/>
        <v>1.071029999999985E-2</v>
      </c>
      <c r="J725" s="13">
        <f t="shared" si="26"/>
        <v>273247.89999999997</v>
      </c>
    </row>
    <row r="726" spans="1:10" x14ac:dyDescent="0.25">
      <c r="A726" s="10">
        <v>43436.541666666664</v>
      </c>
      <c r="B726" s="11" t="s">
        <v>2</v>
      </c>
      <c r="C726" s="11" t="s">
        <v>5</v>
      </c>
      <c r="D726" s="16" t="str">
        <f>HYPERLINK("https://freddywills.com/pick/7044/early-bird-special-nfl-57-38-ats-run-in-nfl.html", "Panthers -3 3.3% play ")</f>
        <v xml:space="preserve">Panthers -3 3.3% play </v>
      </c>
      <c r="E726" s="11">
        <v>3.3</v>
      </c>
      <c r="F726" s="11">
        <v>-1.1000000000000001</v>
      </c>
      <c r="G726" s="11" t="s">
        <v>6</v>
      </c>
      <c r="H726" s="13">
        <v>-3300</v>
      </c>
      <c r="I726" s="14">
        <f t="shared" si="25"/>
        <v>2.1710299999999849E-2</v>
      </c>
      <c r="J726" s="13">
        <f t="shared" si="26"/>
        <v>274347.89999999997</v>
      </c>
    </row>
    <row r="727" spans="1:10" x14ac:dyDescent="0.25">
      <c r="A727" s="10">
        <v>43436.541666666664</v>
      </c>
      <c r="B727" s="11" t="s">
        <v>2</v>
      </c>
      <c r="C727" s="11" t="s">
        <v>12</v>
      </c>
      <c r="D727" s="16" t="str">
        <f>HYPERLINK("https://freddywills.com/pick/7045/3-nfl-money-line-parlay-odds-guaranteed-or-back.html", "Colts / Patriots ML Parlay +115 3% play")</f>
        <v>Colts / Patriots ML Parlay +115 3% play</v>
      </c>
      <c r="E727" s="11">
        <v>3</v>
      </c>
      <c r="F727" s="11">
        <v>1.1499999999999999</v>
      </c>
      <c r="G727" s="11" t="s">
        <v>6</v>
      </c>
      <c r="H727" s="13">
        <v>-3000</v>
      </c>
      <c r="I727" s="14">
        <f t="shared" si="25"/>
        <v>5.4710299999999851E-2</v>
      </c>
      <c r="J727" s="13">
        <f t="shared" si="26"/>
        <v>277647.89999999997</v>
      </c>
    </row>
    <row r="728" spans="1:10" x14ac:dyDescent="0.25">
      <c r="A728" s="10">
        <v>43436.541666666664</v>
      </c>
      <c r="B728" s="11" t="s">
        <v>2</v>
      </c>
      <c r="C728" s="11" t="s">
        <v>5</v>
      </c>
      <c r="D728" s="16" t="str">
        <f>HYPERLINK("https://freddywills.com/pick/7046/2-5-money-line-dog-of-the-week-23-19-54-66-l42-ml-dog-plays.html", "Bengals +190 2.5% play ")</f>
        <v xml:space="preserve">Bengals +190 2.5% play </v>
      </c>
      <c r="E728" s="11">
        <v>2.5</v>
      </c>
      <c r="F728" s="11">
        <v>1.9</v>
      </c>
      <c r="G728" s="11" t="s">
        <v>6</v>
      </c>
      <c r="H728" s="13">
        <v>-2500</v>
      </c>
      <c r="I728" s="14">
        <f t="shared" si="25"/>
        <v>8.471029999999985E-2</v>
      </c>
      <c r="J728" s="13">
        <f t="shared" si="26"/>
        <v>280647.89999999997</v>
      </c>
    </row>
    <row r="729" spans="1:10" x14ac:dyDescent="0.25">
      <c r="A729" s="10">
        <v>43436.541666666664</v>
      </c>
      <c r="B729" s="11" t="s">
        <v>2</v>
      </c>
      <c r="C729" s="11" t="s">
        <v>5</v>
      </c>
      <c r="D729" s="16" t="str">
        <f>HYPERLINK("https://freddywills.com/pick/7047/4-4-nfl-play-browns-vs-texans-guaranteed-or-back-44-24-ats-l68-nfl-picks-in-december.html", "Browns +6 4.4% play ")</f>
        <v xml:space="preserve">Browns +6 4.4% play </v>
      </c>
      <c r="E729" s="11">
        <v>4.4000000000000004</v>
      </c>
      <c r="F729" s="11">
        <v>-1.1000000000000001</v>
      </c>
      <c r="G729" s="11" t="s">
        <v>6</v>
      </c>
      <c r="H729" s="13">
        <v>-4400</v>
      </c>
      <c r="I729" s="14">
        <f t="shared" si="25"/>
        <v>0.10971029999999986</v>
      </c>
      <c r="J729" s="13">
        <f t="shared" si="26"/>
        <v>283147.89999999997</v>
      </c>
    </row>
    <row r="730" spans="1:10" x14ac:dyDescent="0.25">
      <c r="A730" s="10">
        <v>43435.822916666664</v>
      </c>
      <c r="B730" s="11" t="s">
        <v>8</v>
      </c>
      <c r="C730" s="11" t="s">
        <v>18</v>
      </c>
      <c r="D730" s="16" t="str">
        <f>HYPERLINK("https://freddywills.com/pick/7041/5-5-max-ncaaf-pod-mwc-championship-31-5-ats-on-max-pod-s-in-career-during-december.html", "Fresno +110 5.5% NCAAF POD")</f>
        <v>Fresno +110 5.5% NCAAF POD</v>
      </c>
      <c r="E730" s="11">
        <v>5.5</v>
      </c>
      <c r="F730" s="11">
        <v>1.1000000000000001</v>
      </c>
      <c r="G730" s="11" t="s">
        <v>4</v>
      </c>
      <c r="H730" s="13">
        <v>6050</v>
      </c>
      <c r="I730" s="14">
        <f t="shared" si="25"/>
        <v>0.15371029999999986</v>
      </c>
      <c r="J730" s="13">
        <f t="shared" si="26"/>
        <v>287547.89999999997</v>
      </c>
    </row>
    <row r="731" spans="1:10" x14ac:dyDescent="0.25">
      <c r="A731" s="10">
        <v>43435.711111111108</v>
      </c>
      <c r="B731" s="11" t="s">
        <v>8</v>
      </c>
      <c r="C731" s="11" t="s">
        <v>5</v>
      </c>
      <c r="D731" s="16" t="str">
        <f>HYPERLINK("https://freddywills.com/pick/7033/big-ten-championship-ohiost-vs-northwestern-vs-ohiost-guaranteed-or-back-31-16-46-360-l-47.html", "Ohio State -14 3.3% play ")</f>
        <v xml:space="preserve">Ohio State -14 3.3% play </v>
      </c>
      <c r="E731" s="11">
        <v>2.2000000000000002</v>
      </c>
      <c r="F731" s="11">
        <v>-1.1000000000000001</v>
      </c>
      <c r="G731" s="11" t="s">
        <v>4</v>
      </c>
      <c r="H731" s="13">
        <v>2000</v>
      </c>
      <c r="I731" s="14">
        <f t="shared" si="25"/>
        <v>9.3210299999999871E-2</v>
      </c>
      <c r="J731" s="13">
        <f t="shared" si="26"/>
        <v>281497.89999999997</v>
      </c>
    </row>
    <row r="732" spans="1:10" x14ac:dyDescent="0.25">
      <c r="A732" s="10">
        <v>43435.645833333336</v>
      </c>
      <c r="B732" s="11" t="s">
        <v>8</v>
      </c>
      <c r="C732" s="11" t="s">
        <v>5</v>
      </c>
      <c r="D732" s="16" t="str">
        <f>HYPERLINK("https://freddywills.com/pick/7037/american-athletic-conference-championship-game-3-3-play-31-16-ats-run-on-3-plays.html", "UCF -3 3.3% PLAY ")</f>
        <v xml:space="preserve">UCF -3 3.3% PLAY </v>
      </c>
      <c r="E732" s="11">
        <v>3.3</v>
      </c>
      <c r="F732" s="11">
        <v>-1.1000000000000001</v>
      </c>
      <c r="G732" s="11" t="s">
        <v>4</v>
      </c>
      <c r="H732" s="13">
        <v>3000</v>
      </c>
      <c r="I732" s="14">
        <f t="shared" si="25"/>
        <v>7.3210299999999867E-2</v>
      </c>
      <c r="J732" s="13">
        <f t="shared" si="26"/>
        <v>279497.89999999997</v>
      </c>
    </row>
    <row r="733" spans="1:10" x14ac:dyDescent="0.25">
      <c r="A733" s="10">
        <v>43435.645833333336</v>
      </c>
      <c r="B733" s="11" t="s">
        <v>8</v>
      </c>
      <c r="C733" s="11" t="s">
        <v>5</v>
      </c>
      <c r="D733" s="16" t="str">
        <f>HYPERLINK("https://freddywills.com/pick/7042/saturday-s-free-pick-sec-championship-game-alabama-vs-georgia.html", "Alabama -12.5 2.2% Free Play ")</f>
        <v xml:space="preserve">Alabama -12.5 2.2% Free Play </v>
      </c>
      <c r="E733" s="11">
        <v>2.2000000000000002</v>
      </c>
      <c r="F733" s="11">
        <v>-1.1000000000000001</v>
      </c>
      <c r="G733" s="11" t="s">
        <v>6</v>
      </c>
      <c r="H733" s="13">
        <v>-2200</v>
      </c>
      <c r="I733" s="14">
        <f t="shared" si="25"/>
        <v>4.3210299999999861E-2</v>
      </c>
      <c r="J733" s="13">
        <f t="shared" si="26"/>
        <v>276497.89999999997</v>
      </c>
    </row>
    <row r="734" spans="1:10" x14ac:dyDescent="0.25">
      <c r="A734" s="10">
        <v>43435.625</v>
      </c>
      <c r="B734" s="11" t="s">
        <v>8</v>
      </c>
      <c r="C734" s="11" t="s">
        <v>5</v>
      </c>
      <c r="D734" s="16" t="str">
        <f>HYPERLINK("https://freddywills.com/pick/7038/total-of-the-week-stanford-vs-california.html", "Stanford / Cal Under 47 3.3% play ")</f>
        <v xml:space="preserve">Stanford / Cal Under 47 3.3% play </v>
      </c>
      <c r="E734" s="11">
        <v>3.3</v>
      </c>
      <c r="F734" s="11">
        <v>-1.1000000000000001</v>
      </c>
      <c r="G734" s="11" t="s">
        <v>4</v>
      </c>
      <c r="H734" s="13">
        <v>3000</v>
      </c>
      <c r="I734" s="14">
        <f t="shared" si="25"/>
        <v>6.521029999999986E-2</v>
      </c>
      <c r="J734" s="13">
        <f t="shared" si="26"/>
        <v>278697.89999999997</v>
      </c>
    </row>
    <row r="735" spans="1:10" x14ac:dyDescent="0.25">
      <c r="A735" s="10">
        <v>43435.5</v>
      </c>
      <c r="B735" s="11" t="s">
        <v>8</v>
      </c>
      <c r="C735" s="11" t="s">
        <v>7</v>
      </c>
      <c r="D735" s="16" t="str">
        <f>HYPERLINK("https://freddywills.com/pick/7039/sun-belt-championship-game-guaranteed-or-back.html", "App State / UL Lafayette Under 58 3.3% play ")</f>
        <v xml:space="preserve">App State / UL Lafayette Under 58 3.3% play </v>
      </c>
      <c r="E735" s="11">
        <v>3.3</v>
      </c>
      <c r="F735" s="11">
        <v>-1.1000000000000001</v>
      </c>
      <c r="G735" s="11" t="s">
        <v>4</v>
      </c>
      <c r="H735" s="13">
        <v>3000</v>
      </c>
      <c r="I735" s="14">
        <f t="shared" si="25"/>
        <v>3.5210299999999854E-2</v>
      </c>
      <c r="J735" s="13">
        <f t="shared" si="26"/>
        <v>275697.89999999997</v>
      </c>
    </row>
    <row r="736" spans="1:10" x14ac:dyDescent="0.25">
      <c r="A736" s="10">
        <v>43435.5</v>
      </c>
      <c r="B736" s="11" t="s">
        <v>8</v>
      </c>
      <c r="C736" s="11" t="s">
        <v>5</v>
      </c>
      <c r="D736" s="16" t="str">
        <f>HYPERLINK("https://freddywills.com/pick/7040/big-12-championship-game-4-4-play-texas-vs-oklahoma.html", "Texas +8 4.4% play ")</f>
        <v xml:space="preserve">Texas +8 4.4% play </v>
      </c>
      <c r="E736" s="11">
        <v>4.4000000000000004</v>
      </c>
      <c r="F736" s="11">
        <v>-1.1000000000000001</v>
      </c>
      <c r="G736" s="11" t="s">
        <v>6</v>
      </c>
      <c r="H736" s="13">
        <v>-4400</v>
      </c>
      <c r="I736" s="14">
        <f t="shared" si="25"/>
        <v>5.2102999999998553E-3</v>
      </c>
      <c r="J736" s="13">
        <f t="shared" si="26"/>
        <v>272697.89999999997</v>
      </c>
    </row>
    <row r="737" spans="1:10" x14ac:dyDescent="0.25">
      <c r="A737" s="10">
        <v>43434.791666666664</v>
      </c>
      <c r="B737" s="11" t="s">
        <v>8</v>
      </c>
      <c r="C737" s="11" t="s">
        <v>5</v>
      </c>
      <c r="D737" s="16" t="str">
        <f>HYPERLINK("https://freddywills.com/pick/7035/4-4-ncaaf-pod-mac-championship-game-7-1-ats-career-guaranteed-or-saturday-is-free.html", "Northern Illinois +3.5 4.4% POD")</f>
        <v>Northern Illinois +3.5 4.4% POD</v>
      </c>
      <c r="E737" s="11">
        <v>4.4000000000000004</v>
      </c>
      <c r="F737" s="11">
        <v>-1.1000000000000001</v>
      </c>
      <c r="G737" s="11" t="s">
        <v>4</v>
      </c>
      <c r="H737" s="13">
        <v>4000</v>
      </c>
      <c r="I737" s="14">
        <f t="shared" si="25"/>
        <v>4.9210299999999853E-2</v>
      </c>
      <c r="J737" s="13">
        <f t="shared" si="26"/>
        <v>277097.89999999997</v>
      </c>
    </row>
    <row r="738" spans="1:10" x14ac:dyDescent="0.25">
      <c r="A738" s="10">
        <v>43433.847222222219</v>
      </c>
      <c r="B738" s="11" t="s">
        <v>2</v>
      </c>
      <c r="C738" s="11" t="s">
        <v>5</v>
      </c>
      <c r="D738" s="16" t="str">
        <f>HYPERLINK("https://freddywills.com/pick/7034/thursday-night-football-56-38-ats-run-59-5-ats-l94-nfl-picks.html", "Cowboys +7.5 2.2% play ")</f>
        <v xml:space="preserve">Cowboys +7.5 2.2% play </v>
      </c>
      <c r="E738" s="11">
        <v>2.2000000000000002</v>
      </c>
      <c r="F738" s="11">
        <v>-1.1000000000000001</v>
      </c>
      <c r="G738" s="11" t="s">
        <v>4</v>
      </c>
      <c r="H738" s="13">
        <v>2000</v>
      </c>
      <c r="I738" s="14">
        <f t="shared" si="25"/>
        <v>9.2102999999998519E-3</v>
      </c>
      <c r="J738" s="13">
        <f t="shared" si="26"/>
        <v>273097.89999999997</v>
      </c>
    </row>
    <row r="739" spans="1:10" x14ac:dyDescent="0.25">
      <c r="A739" s="10">
        <v>43429.847222222219</v>
      </c>
      <c r="B739" s="11" t="s">
        <v>2</v>
      </c>
      <c r="C739" s="11" t="s">
        <v>5</v>
      </c>
      <c r="D739" s="16" t="str">
        <f>HYPERLINK("https://freddywills.com/pick/7030/sunday-night-football-vikings-vs-packers-30-19-l49-3-nfl-picks-guaranteed-or-back.html", "Vikings -3 -120 3.5% play ")</f>
        <v xml:space="preserve">Vikings -3 -120 3.5% play </v>
      </c>
      <c r="E739" s="11">
        <v>3.5</v>
      </c>
      <c r="F739" s="11">
        <v>-1.2</v>
      </c>
      <c r="G739" s="11" t="s">
        <v>4</v>
      </c>
      <c r="H739" s="13">
        <v>2916.67</v>
      </c>
      <c r="I739" s="14">
        <f t="shared" si="25"/>
        <v>-1.0789700000000148E-2</v>
      </c>
      <c r="J739" s="13">
        <f t="shared" si="26"/>
        <v>271097.89999999997</v>
      </c>
    </row>
    <row r="740" spans="1:10" x14ac:dyDescent="0.25">
      <c r="A740" s="10">
        <v>43429.684027777781</v>
      </c>
      <c r="B740" s="11" t="s">
        <v>2</v>
      </c>
      <c r="C740" s="11" t="s">
        <v>5</v>
      </c>
      <c r="D740" s="16" t="str">
        <f>HYPERLINK("https://freddywills.com/pick/7028/5-5-max-rated-nfl-pod-guaranteed-or-back.html", "Broncos +3 +100 5.5% NFL POD")</f>
        <v>Broncos +3 +100 5.5% NFL POD</v>
      </c>
      <c r="E740" s="11">
        <v>5.5</v>
      </c>
      <c r="F740" s="11">
        <v>1</v>
      </c>
      <c r="G740" s="11" t="s">
        <v>4</v>
      </c>
      <c r="H740" s="13">
        <v>5500</v>
      </c>
      <c r="I740" s="14">
        <f t="shared" si="25"/>
        <v>-3.9956400000000149E-2</v>
      </c>
      <c r="J740" s="13">
        <f t="shared" si="26"/>
        <v>268181.23</v>
      </c>
    </row>
    <row r="741" spans="1:10" x14ac:dyDescent="0.25">
      <c r="A741" s="10">
        <v>43429.684027777781</v>
      </c>
      <c r="B741" s="11" t="s">
        <v>2</v>
      </c>
      <c r="C741" s="11" t="s">
        <v>5</v>
      </c>
      <c r="D741" s="16" t="str">
        <f>HYPERLINK("https://freddywills.com/pick/7031/2-2-nfl-free-pick-43-23-l66-nfl-free-picks.html", "Dolphins +9 2.2% Free play")</f>
        <v>Dolphins +9 2.2% Free play</v>
      </c>
      <c r="E741" s="11">
        <v>2.2000000000000002</v>
      </c>
      <c r="F741" s="11">
        <v>-1.1000000000000001</v>
      </c>
      <c r="G741" s="11" t="s">
        <v>4</v>
      </c>
      <c r="H741" s="13">
        <v>2000</v>
      </c>
      <c r="I741" s="14">
        <f t="shared" si="25"/>
        <v>-9.4956400000000149E-2</v>
      </c>
      <c r="J741" s="13">
        <f t="shared" si="26"/>
        <v>262681.23</v>
      </c>
    </row>
    <row r="742" spans="1:10" x14ac:dyDescent="0.25">
      <c r="A742" s="10">
        <v>43429.541666666664</v>
      </c>
      <c r="B742" s="11" t="s">
        <v>2</v>
      </c>
      <c r="C742" s="11" t="s">
        <v>18</v>
      </c>
      <c r="D742" s="16" t="str">
        <f>HYPERLINK("https://freddywills.com/pick/7029/nfl-money-line-dog-winner-guaranteed-or-1-day-is-free.html", "Bills +147 3% play ")</f>
        <v xml:space="preserve">Bills +147 3% play </v>
      </c>
      <c r="E742" s="11">
        <v>3</v>
      </c>
      <c r="F742" s="11">
        <v>1.47</v>
      </c>
      <c r="G742" s="11" t="s">
        <v>4</v>
      </c>
      <c r="H742" s="13">
        <v>4410</v>
      </c>
      <c r="I742" s="14">
        <f t="shared" si="25"/>
        <v>-0.11495640000000015</v>
      </c>
      <c r="J742" s="13">
        <f t="shared" si="26"/>
        <v>260681.23</v>
      </c>
    </row>
    <row r="743" spans="1:10" x14ac:dyDescent="0.25">
      <c r="A743" s="10">
        <v>43429.541666666664</v>
      </c>
      <c r="B743" s="11" t="s">
        <v>2</v>
      </c>
      <c r="C743" s="11" t="s">
        <v>5</v>
      </c>
      <c r="D743" s="16" t="str">
        <f>HYPERLINK("https://freddywills.com/pick/7032/early-bird-special-nfl-57-37-l89-nfl-picks-54-06-roi.html", "Panthers -3 +100 2.2% play ")</f>
        <v xml:space="preserve">Panthers -3 +100 2.2% play </v>
      </c>
      <c r="E743" s="11">
        <v>2.2000000000000002</v>
      </c>
      <c r="F743" s="11">
        <v>1</v>
      </c>
      <c r="G743" s="11" t="s">
        <v>6</v>
      </c>
      <c r="H743" s="13">
        <v>-2200</v>
      </c>
      <c r="I743" s="14">
        <f t="shared" si="25"/>
        <v>-0.15905640000000015</v>
      </c>
      <c r="J743" s="13">
        <f t="shared" si="26"/>
        <v>256271.23</v>
      </c>
    </row>
    <row r="744" spans="1:10" x14ac:dyDescent="0.25">
      <c r="A744" s="10">
        <v>43428.916666666664</v>
      </c>
      <c r="B744" s="11" t="s">
        <v>8</v>
      </c>
      <c r="C744" s="11" t="s">
        <v>5</v>
      </c>
      <c r="D744" s="16" t="str">
        <f>HYPERLINK("https://freddywills.com/pick/7026/the-holy-war-rivalry-game-byu-vs-utah-2-2-play.html", "BYU +11.5 2.2% PLAY ")</f>
        <v xml:space="preserve">BYU +11.5 2.2% PLAY </v>
      </c>
      <c r="E744" s="11">
        <v>2.2000000000000002</v>
      </c>
      <c r="F744" s="11">
        <v>-1.1000000000000001</v>
      </c>
      <c r="G744" s="11" t="s">
        <v>4</v>
      </c>
      <c r="H744" s="13">
        <v>2000</v>
      </c>
      <c r="I744" s="14">
        <f t="shared" si="25"/>
        <v>-0.13705640000000016</v>
      </c>
      <c r="J744" s="13">
        <f t="shared" si="26"/>
        <v>258471.23</v>
      </c>
    </row>
    <row r="745" spans="1:10" x14ac:dyDescent="0.25">
      <c r="A745" s="10">
        <v>43428.833333333336</v>
      </c>
      <c r="B745" s="11" t="s">
        <v>8</v>
      </c>
      <c r="C745" s="11" t="s">
        <v>5</v>
      </c>
      <c r="D745" s="16" t="str">
        <f>HYPERLINK("https://freddywills.com/pick/7025/1-1-free-play-notre-dame-vs-usc-31-13-l44-free-ncaaf-picks.html", "Notre Dame -11 1.1% Free Play ")</f>
        <v xml:space="preserve">Notre Dame -11 1.1% Free Play </v>
      </c>
      <c r="E745" s="11">
        <v>1.1000000000000001</v>
      </c>
      <c r="F745" s="11">
        <v>-1.1000000000000001</v>
      </c>
      <c r="G745" s="11" t="s">
        <v>6</v>
      </c>
      <c r="H745" s="13">
        <v>-1100</v>
      </c>
      <c r="I745" s="14">
        <f t="shared" si="25"/>
        <v>-0.15705640000000015</v>
      </c>
      <c r="J745" s="13">
        <f t="shared" si="26"/>
        <v>256471.23</v>
      </c>
    </row>
    <row r="746" spans="1:10" x14ac:dyDescent="0.25">
      <c r="A746" s="10">
        <v>43428.833333333336</v>
      </c>
      <c r="B746" s="11" t="s">
        <v>8</v>
      </c>
      <c r="C746" s="11" t="s">
        <v>18</v>
      </c>
      <c r="D746" s="16" t="str">
        <f>HYPERLINK("https://freddywills.com/pick/7027/dog-of-the-week-guaranteed-185-or-higher-guaranteed-or-back.html", "TCU +200 3.5% ML Dog play")</f>
        <v>TCU +200 3.5% ML Dog play</v>
      </c>
      <c r="E746" s="11">
        <v>3.5</v>
      </c>
      <c r="F746" s="11">
        <v>2</v>
      </c>
      <c r="G746" s="11" t="s">
        <v>4</v>
      </c>
      <c r="H746" s="13">
        <v>7000</v>
      </c>
      <c r="I746" s="14">
        <f t="shared" si="25"/>
        <v>-0.14605640000000014</v>
      </c>
      <c r="J746" s="13">
        <f t="shared" si="26"/>
        <v>257571.23</v>
      </c>
    </row>
    <row r="747" spans="1:10" x14ac:dyDescent="0.25">
      <c r="A747" s="10">
        <v>43428.791666666664</v>
      </c>
      <c r="B747" s="11" t="s">
        <v>8</v>
      </c>
      <c r="C747" s="11" t="s">
        <v>5</v>
      </c>
      <c r="D747" s="16" t="str">
        <f>HYPERLINK("https://freddywills.com/pick/7024/3-5-sec-play-texas-a-m-vs-lsu-guaranteed-or-back.html", "Texas AM -3 -115 3.5% PLAY ")</f>
        <v xml:space="preserve">Texas AM -3 -115 3.5% PLAY </v>
      </c>
      <c r="E747" s="11">
        <v>3.5</v>
      </c>
      <c r="F747" s="11">
        <v>-1.1499999999999999</v>
      </c>
      <c r="G747" s="11" t="s">
        <v>6</v>
      </c>
      <c r="H747" s="13">
        <v>-3500</v>
      </c>
      <c r="I747" s="14">
        <f t="shared" si="25"/>
        <v>-0.21605640000000015</v>
      </c>
      <c r="J747" s="13">
        <f t="shared" si="26"/>
        <v>250571.23</v>
      </c>
    </row>
    <row r="748" spans="1:10" x14ac:dyDescent="0.25">
      <c r="A748" s="10">
        <v>43428.666666666664</v>
      </c>
      <c r="B748" s="11" t="s">
        <v>8</v>
      </c>
      <c r="C748" s="11" t="s">
        <v>5</v>
      </c>
      <c r="D748" s="16" t="str">
        <f>HYPERLINK("https://freddywills.com/pick/7023/max-rated-ncaaf-pod-guaranteed-or-rest-of-season-is-free-sec-match-up.html", "Tennessee +3.5 5.5% NCAAF POD")</f>
        <v>Tennessee +3.5 5.5% NCAAF POD</v>
      </c>
      <c r="E748" s="11">
        <v>5.5</v>
      </c>
      <c r="F748" s="11">
        <v>-1.1000000000000001</v>
      </c>
      <c r="G748" s="11" t="s">
        <v>6</v>
      </c>
      <c r="H748" s="13">
        <v>-5500</v>
      </c>
      <c r="I748" s="14">
        <f t="shared" si="25"/>
        <v>-0.18105640000000015</v>
      </c>
      <c r="J748" s="13">
        <f t="shared" si="26"/>
        <v>254071.23</v>
      </c>
    </row>
    <row r="749" spans="1:10" x14ac:dyDescent="0.25">
      <c r="A749" s="10">
        <v>43428.645833333336</v>
      </c>
      <c r="B749" s="11" t="s">
        <v>8</v>
      </c>
      <c r="C749" s="11" t="s">
        <v>5</v>
      </c>
      <c r="D749" s="16" t="str">
        <f>HYPERLINK("https://freddywills.com/pick/7021/iron-bowl-guaranteed-or-back.html", "Alabama -24 2.2% play ")</f>
        <v xml:space="preserve">Alabama -24 2.2% play </v>
      </c>
      <c r="E749" s="11">
        <v>2.2000000000000002</v>
      </c>
      <c r="F749" s="11">
        <v>-1.1000000000000001</v>
      </c>
      <c r="G749" s="11" t="s">
        <v>4</v>
      </c>
      <c r="H749" s="13">
        <v>2000</v>
      </c>
      <c r="I749" s="14">
        <f t="shared" si="25"/>
        <v>-0.12605640000000015</v>
      </c>
      <c r="J749" s="13">
        <f t="shared" si="26"/>
        <v>259571.23</v>
      </c>
    </row>
    <row r="750" spans="1:10" x14ac:dyDescent="0.25">
      <c r="A750" s="10">
        <v>43428.5</v>
      </c>
      <c r="B750" s="11" t="s">
        <v>8</v>
      </c>
      <c r="C750" s="11" t="s">
        <v>5</v>
      </c>
      <c r="D750" s="16" t="str">
        <f>HYPERLINK("https://freddywills.com/pick/7018/saturday-s-early-bird-special-4-4-play-marshall-vs-fiu-181-136-l317-4-ncaaf-picks.html", "Marshall -3 4.4% play ")</f>
        <v xml:space="preserve">Marshall -3 4.4% play </v>
      </c>
      <c r="E750" s="11">
        <v>4.4000000000000004</v>
      </c>
      <c r="F750" s="11">
        <v>-1.1000000000000001</v>
      </c>
      <c r="G750" s="11" t="s">
        <v>9</v>
      </c>
      <c r="H750" s="13">
        <v>0</v>
      </c>
      <c r="I750" s="14">
        <f t="shared" si="25"/>
        <v>-0.14605640000000014</v>
      </c>
      <c r="J750" s="13">
        <f t="shared" si="26"/>
        <v>257571.23</v>
      </c>
    </row>
    <row r="751" spans="1:10" x14ac:dyDescent="0.25">
      <c r="A751" s="10">
        <v>43428.5</v>
      </c>
      <c r="B751" s="11" t="s">
        <v>8</v>
      </c>
      <c r="C751" s="11" t="s">
        <v>5</v>
      </c>
      <c r="D751" s="16" t="str">
        <f>HYPERLINK("https://freddywills.com/pick/7022/game-of-the-week-michst-vs-ohiost-guaranteed-or-back.html", "Ohio State +5 3.3% play ")</f>
        <v xml:space="preserve">Ohio State +5 3.3% play </v>
      </c>
      <c r="E751" s="11">
        <v>3.3</v>
      </c>
      <c r="F751" s="11">
        <v>-1.1000000000000001</v>
      </c>
      <c r="G751" s="11" t="s">
        <v>4</v>
      </c>
      <c r="H751" s="13">
        <v>3000</v>
      </c>
      <c r="I751" s="14">
        <f t="shared" si="25"/>
        <v>-0.14605640000000014</v>
      </c>
      <c r="J751" s="13">
        <f t="shared" si="26"/>
        <v>257571.23</v>
      </c>
    </row>
    <row r="752" spans="1:10" x14ac:dyDescent="0.25">
      <c r="A752" s="10">
        <v>43427.854166666664</v>
      </c>
      <c r="B752" s="11" t="s">
        <v>8</v>
      </c>
      <c r="C752" s="11" t="s">
        <v>7</v>
      </c>
      <c r="D752" s="16" t="str">
        <f>HYPERLINK("https://freddywills.com/pick/7019/total-of-the-week-apple-cup-washington-vs-washington-state.html", "Wash / Wash St U49 3.3% play")</f>
        <v>Wash / Wash St U49 3.3% play</v>
      </c>
      <c r="E752" s="11">
        <v>3.3</v>
      </c>
      <c r="F752" s="11">
        <v>-1.1000000000000001</v>
      </c>
      <c r="G752" s="11" t="s">
        <v>4</v>
      </c>
      <c r="H752" s="13">
        <v>3000</v>
      </c>
      <c r="I752" s="14">
        <f t="shared" si="25"/>
        <v>-0.17605640000000014</v>
      </c>
      <c r="J752" s="13">
        <f t="shared" si="26"/>
        <v>254571.23</v>
      </c>
    </row>
    <row r="753" spans="1:10" x14ac:dyDescent="0.25">
      <c r="A753" s="10">
        <v>43427.833333333336</v>
      </c>
      <c r="B753" s="11" t="s">
        <v>8</v>
      </c>
      <c r="C753" s="11" t="s">
        <v>18</v>
      </c>
      <c r="D753" s="16" t="str">
        <f>HYPERLINK("https://freddywills.com/pick/7020/big-12-semi-championship-oklahoma-vs-wvirginia-guaranteed-or-back.html", "Oklahoma -140 4% play ")</f>
        <v xml:space="preserve">Oklahoma -140 4% play </v>
      </c>
      <c r="E753" s="11">
        <v>4</v>
      </c>
      <c r="F753" s="11">
        <v>-1.4</v>
      </c>
      <c r="G753" s="11" t="s">
        <v>4</v>
      </c>
      <c r="H753" s="13">
        <v>2857.14</v>
      </c>
      <c r="I753" s="14">
        <f t="shared" si="25"/>
        <v>-0.20605640000000014</v>
      </c>
      <c r="J753" s="13">
        <f t="shared" si="26"/>
        <v>251571.23</v>
      </c>
    </row>
    <row r="754" spans="1:10" x14ac:dyDescent="0.25">
      <c r="A754" s="10">
        <v>43427.684027777781</v>
      </c>
      <c r="B754" s="11" t="s">
        <v>8</v>
      </c>
      <c r="C754" s="11" t="s">
        <v>5</v>
      </c>
      <c r="D754" s="16" t="str">
        <f>HYPERLINK("https://freddywills.com/pick/7015/aac-game-of-the-week-guaranteed-or-back-ucf-vs-usf.html", "UCF -14 3.3% PLAY ")</f>
        <v xml:space="preserve">UCF -14 3.3% PLAY </v>
      </c>
      <c r="E754" s="11">
        <v>3.3</v>
      </c>
      <c r="F754" s="11">
        <v>-1.1000000000000001</v>
      </c>
      <c r="G754" s="11" t="s">
        <v>4</v>
      </c>
      <c r="H754" s="13">
        <v>3000</v>
      </c>
      <c r="I754" s="14">
        <f t="shared" si="25"/>
        <v>-0.23462780000000014</v>
      </c>
      <c r="J754" s="13">
        <f t="shared" si="26"/>
        <v>248714.09</v>
      </c>
    </row>
    <row r="755" spans="1:10" x14ac:dyDescent="0.25">
      <c r="A755" s="10">
        <v>43427.5</v>
      </c>
      <c r="B755" s="11" t="s">
        <v>8</v>
      </c>
      <c r="C755" s="11" t="s">
        <v>10</v>
      </c>
      <c r="D755" s="16" t="str">
        <f>HYPERLINK("https://freddywills.com/pick/7016/friday-s-free-college-football-play-31-12-l43-free-college-picks-187-odds.html", "Wash +8.5, Memphis -1, Virginia +1 1% @ +187")</f>
        <v>Wash +8.5, Memphis -1, Virginia +1 1% @ +187</v>
      </c>
      <c r="E755" s="11">
        <v>1</v>
      </c>
      <c r="F755" s="11">
        <v>1.87</v>
      </c>
      <c r="G755" s="11" t="s">
        <v>6</v>
      </c>
      <c r="H755" s="13">
        <v>-1000</v>
      </c>
      <c r="I755" s="14">
        <f t="shared" si="25"/>
        <v>-0.26462780000000014</v>
      </c>
      <c r="J755" s="13">
        <f t="shared" si="26"/>
        <v>245714.09</v>
      </c>
    </row>
    <row r="756" spans="1:10" x14ac:dyDescent="0.25">
      <c r="A756" s="10">
        <v>43427.5</v>
      </c>
      <c r="B756" s="11" t="s">
        <v>8</v>
      </c>
      <c r="C756" s="11" t="s">
        <v>5</v>
      </c>
      <c r="D756" s="16" t="str">
        <f>HYPERLINK("https://freddywills.com/pick/7017/friday-s-play-of-the-day-4-4-play-nebraska-vs-iowa-guaranteed-or-back.html", "Nebraska +9 4.4% POD")</f>
        <v>Nebraska +9 4.4% POD</v>
      </c>
      <c r="E756" s="11">
        <v>4.4000000000000004</v>
      </c>
      <c r="F756" s="11">
        <v>-1.1000000000000001</v>
      </c>
      <c r="G756" s="11" t="s">
        <v>4</v>
      </c>
      <c r="H756" s="13">
        <v>4000</v>
      </c>
      <c r="I756" s="14">
        <f t="shared" si="25"/>
        <v>-0.25462780000000013</v>
      </c>
      <c r="J756" s="13">
        <f t="shared" si="26"/>
        <v>246714.09</v>
      </c>
    </row>
    <row r="757" spans="1:10" x14ac:dyDescent="0.25">
      <c r="A757" s="10">
        <v>43426.8125</v>
      </c>
      <c r="B757" s="11" t="s">
        <v>8</v>
      </c>
      <c r="C757" s="11" t="s">
        <v>5</v>
      </c>
      <c r="D757" s="16" t="str">
        <f>HYPERLINK("https://freddywills.com/pick/7014/egg-bowl-3-3-play-missst-vs-olemiss-guaranteed-or-back.html", "Miss State -11 3.3% play ")</f>
        <v xml:space="preserve">Miss State -11 3.3% play </v>
      </c>
      <c r="E757" s="11">
        <v>3.3</v>
      </c>
      <c r="F757" s="11">
        <v>-1.1000000000000001</v>
      </c>
      <c r="G757" s="11" t="s">
        <v>4</v>
      </c>
      <c r="H757" s="13">
        <v>3000</v>
      </c>
      <c r="I757" s="14">
        <f t="shared" si="25"/>
        <v>-0.29462780000000011</v>
      </c>
      <c r="J757" s="13">
        <f t="shared" si="26"/>
        <v>242714.09</v>
      </c>
    </row>
    <row r="758" spans="1:10" x14ac:dyDescent="0.25">
      <c r="A758" s="10">
        <v>43426.520833333336</v>
      </c>
      <c r="B758" s="11" t="s">
        <v>2</v>
      </c>
      <c r="C758" s="11" t="s">
        <v>5</v>
      </c>
      <c r="D758" s="16" t="str">
        <f>HYPERLINK("https://freddywills.com/pick/7013/thanksgiving-day-nfl-pod-guaranteed-or-back-lions-vs-bears.html", "Lions +4 4.4% NFL POD")</f>
        <v>Lions +4 4.4% NFL POD</v>
      </c>
      <c r="E758" s="11">
        <v>4.4000000000000004</v>
      </c>
      <c r="F758" s="11">
        <v>-1.1000000000000001</v>
      </c>
      <c r="G758" s="11" t="s">
        <v>6</v>
      </c>
      <c r="H758" s="13">
        <v>-4400</v>
      </c>
      <c r="I758" s="14">
        <f t="shared" si="25"/>
        <v>-0.32462780000000008</v>
      </c>
      <c r="J758" s="13">
        <f t="shared" si="26"/>
        <v>239714.09</v>
      </c>
    </row>
    <row r="759" spans="1:10" x14ac:dyDescent="0.25">
      <c r="A759" s="10">
        <v>43422.854166666664</v>
      </c>
      <c r="B759" s="11" t="s">
        <v>2</v>
      </c>
      <c r="C759" s="11" t="s">
        <v>5</v>
      </c>
      <c r="D759" s="16" t="str">
        <f>HYPERLINK("https://freddywills.com/pick/7008/5-5-nfl-pod-guaranteed-or-back-sunday-night-vikings-vs-bears.html", "Vikings +2.5 5.5% NFL POD")</f>
        <v>Vikings +2.5 5.5% NFL POD</v>
      </c>
      <c r="E759" s="11">
        <v>5.5</v>
      </c>
      <c r="F759" s="11">
        <v>-1.1000000000000001</v>
      </c>
      <c r="G759" s="11" t="s">
        <v>6</v>
      </c>
      <c r="H759" s="13">
        <v>-5500</v>
      </c>
      <c r="I759" s="14">
        <f t="shared" si="25"/>
        <v>-0.28062780000000009</v>
      </c>
      <c r="J759" s="13">
        <f t="shared" si="26"/>
        <v>244114.09</v>
      </c>
    </row>
    <row r="760" spans="1:10" x14ac:dyDescent="0.25">
      <c r="A760" s="10">
        <v>43422.684027777781</v>
      </c>
      <c r="B760" s="11" t="s">
        <v>2</v>
      </c>
      <c r="C760" s="11" t="s">
        <v>5</v>
      </c>
      <c r="D760" s="16" t="str">
        <f>HYPERLINK("https://freddywills.com/pick/7010/saints-vs-eagles-3-3-play-33-21-l54-3-nfl-plays-guaranteed-or-back.html", "Eagles+8 3.3% play")</f>
        <v>Eagles+8 3.3% play</v>
      </c>
      <c r="E760" s="11">
        <v>3.3</v>
      </c>
      <c r="F760" s="11">
        <v>-1.1000000000000001</v>
      </c>
      <c r="G760" s="11" t="s">
        <v>6</v>
      </c>
      <c r="H760" s="13">
        <v>-3300</v>
      </c>
      <c r="I760" s="14">
        <f t="shared" si="25"/>
        <v>-0.22562780000000007</v>
      </c>
      <c r="J760" s="13">
        <f t="shared" si="26"/>
        <v>249614.09</v>
      </c>
    </row>
    <row r="761" spans="1:10" x14ac:dyDescent="0.25">
      <c r="A761" s="10">
        <v>43422.670138888891</v>
      </c>
      <c r="B761" s="11" t="s">
        <v>2</v>
      </c>
      <c r="C761" s="11" t="s">
        <v>5</v>
      </c>
      <c r="D761" s="16" t="str">
        <f>HYPERLINK("https://freddywills.com/pick/7009/broncos-vs-chargers-guaranteed-or-back.html", "Broncos +7 2.2% play ")</f>
        <v xml:space="preserve">Broncos +7 2.2% play </v>
      </c>
      <c r="E761" s="11">
        <v>2.2000000000000002</v>
      </c>
      <c r="F761" s="11">
        <v>-1.1000000000000001</v>
      </c>
      <c r="G761" s="11" t="s">
        <v>4</v>
      </c>
      <c r="H761" s="13">
        <v>2000</v>
      </c>
      <c r="I761" s="14">
        <f t="shared" si="25"/>
        <v>-0.19262780000000007</v>
      </c>
      <c r="J761" s="13">
        <f t="shared" si="26"/>
        <v>252914.09</v>
      </c>
    </row>
    <row r="762" spans="1:10" x14ac:dyDescent="0.25">
      <c r="A762" s="10">
        <v>43422.541666666664</v>
      </c>
      <c r="B762" s="11" t="s">
        <v>2</v>
      </c>
      <c r="C762" s="11" t="s">
        <v>5</v>
      </c>
      <c r="D762" s="16" t="str">
        <f>HYPERLINK("https://freddywills.com/pick/7011/3-3-play-33-21-last-54-nfl-3-plays-61-colts-vs-titans.html", "Colts -1.5 3.3% play ")</f>
        <v xml:space="preserve">Colts -1.5 3.3% play </v>
      </c>
      <c r="E762" s="11">
        <v>3.3</v>
      </c>
      <c r="F762" s="11">
        <v>-1.1000000000000001</v>
      </c>
      <c r="G762" s="11" t="s">
        <v>4</v>
      </c>
      <c r="H762" s="13">
        <v>3000</v>
      </c>
      <c r="I762" s="14">
        <f t="shared" si="25"/>
        <v>-0.21262780000000006</v>
      </c>
      <c r="J762" s="13">
        <f t="shared" si="26"/>
        <v>250914.09</v>
      </c>
    </row>
    <row r="763" spans="1:10" x14ac:dyDescent="0.25">
      <c r="A763" s="10">
        <v>43422.541666666664</v>
      </c>
      <c r="B763" s="11" t="s">
        <v>2</v>
      </c>
      <c r="C763" s="11" t="s">
        <v>7</v>
      </c>
      <c r="D763" s="16" t="str">
        <f>HYPERLINK("https://freddywills.com/pick/7012/1-1-free-nfl-pick-42-23-ats-l65-nfl-free-picks-64-6.html", "Panthers/Lions Under 49.5 1.1% Free Play")</f>
        <v>Panthers/Lions Under 49.5 1.1% Free Play</v>
      </c>
      <c r="E763" s="11">
        <v>1.1000000000000001</v>
      </c>
      <c r="F763" s="11">
        <v>-1.1000000000000001</v>
      </c>
      <c r="G763" s="11" t="s">
        <v>4</v>
      </c>
      <c r="H763" s="13">
        <v>1000</v>
      </c>
      <c r="I763" s="14">
        <f t="shared" si="25"/>
        <v>-0.24262780000000006</v>
      </c>
      <c r="J763" s="13">
        <f t="shared" si="26"/>
        <v>247914.09</v>
      </c>
    </row>
    <row r="764" spans="1:10" x14ac:dyDescent="0.25">
      <c r="A764" s="10">
        <v>43421.833333333336</v>
      </c>
      <c r="B764" s="11" t="s">
        <v>8</v>
      </c>
      <c r="C764" s="11" t="s">
        <v>5</v>
      </c>
      <c r="D764" s="16" t="str">
        <f>HYPERLINK("https://freddywills.com/pick/7006/big12-game-of-the-week-iowast-vs-texas-94-4-roi-l2-weeks-of-november-in-career.html", "Iowa State +2.5 3.3% play ")</f>
        <v xml:space="preserve">Iowa State +2.5 3.3% play </v>
      </c>
      <c r="E764" s="11">
        <v>3.3</v>
      </c>
      <c r="F764" s="11">
        <v>-1.1000000000000001</v>
      </c>
      <c r="G764" s="11" t="s">
        <v>6</v>
      </c>
      <c r="H764" s="13">
        <v>-3300</v>
      </c>
      <c r="I764" s="14">
        <f t="shared" si="25"/>
        <v>-0.25262780000000007</v>
      </c>
      <c r="J764" s="13">
        <f t="shared" si="26"/>
        <v>246914.09</v>
      </c>
    </row>
    <row r="765" spans="1:10" x14ac:dyDescent="0.25">
      <c r="A765" s="10">
        <v>43421.791666666664</v>
      </c>
      <c r="B765" s="11" t="s">
        <v>8</v>
      </c>
      <c r="C765" s="11" t="s">
        <v>5</v>
      </c>
      <c r="D765" s="16" t="str">
        <f>HYPERLINK("https://freddywills.com/pick/6995/clemson-vs-duke-3-3-guaranteed-or-back-9-3-ats-last-week.html", "Clemson -27.5 3.3% play ")</f>
        <v xml:space="preserve">Clemson -27.5 3.3% play </v>
      </c>
      <c r="E765" s="11">
        <v>3.3</v>
      </c>
      <c r="F765" s="11">
        <v>-1.1000000000000001</v>
      </c>
      <c r="G765" s="11" t="s">
        <v>4</v>
      </c>
      <c r="H765" s="13">
        <v>3000</v>
      </c>
      <c r="I765" s="14">
        <f t="shared" si="25"/>
        <v>-0.2196278000000001</v>
      </c>
      <c r="J765" s="13">
        <f t="shared" si="26"/>
        <v>250214.09</v>
      </c>
    </row>
    <row r="766" spans="1:10" x14ac:dyDescent="0.25">
      <c r="A766" s="10">
        <v>43421.791666666664</v>
      </c>
      <c r="B766" s="11" t="s">
        <v>8</v>
      </c>
      <c r="C766" s="11" t="s">
        <v>5</v>
      </c>
      <c r="D766" s="16" t="str">
        <f>HYPERLINK("https://freddywills.com/pick/7004/3-3-blowout-newsletter-play-31-22-ats-last-53-3-plays-guaranteed-or-back.html", "Texas A&amp;M -16.5 3.3% play ")</f>
        <v xml:space="preserve">Texas A&amp;M -16.5 3.3% play </v>
      </c>
      <c r="E766" s="11">
        <v>3.3</v>
      </c>
      <c r="F766" s="11">
        <v>-1.1000000000000001</v>
      </c>
      <c r="G766" s="11" t="s">
        <v>4</v>
      </c>
      <c r="H766" s="13">
        <v>3000</v>
      </c>
      <c r="I766" s="14">
        <f t="shared" si="25"/>
        <v>-0.24962780000000009</v>
      </c>
      <c r="J766" s="13">
        <f t="shared" si="26"/>
        <v>247214.09</v>
      </c>
    </row>
    <row r="767" spans="1:10" x14ac:dyDescent="0.25">
      <c r="A767" s="10">
        <v>43421.645833333336</v>
      </c>
      <c r="B767" s="11" t="s">
        <v>8</v>
      </c>
      <c r="C767" s="11" t="s">
        <v>5</v>
      </c>
      <c r="D767" s="16" t="str">
        <f>HYPERLINK("https://freddywills.com/pick/7002/1-1-free-play-saturday-ucla-vs-usc-52-28-ats-l80-free-college-picks.html", "UCLA +3 1.1% FREE PLAY ")</f>
        <v xml:space="preserve">UCLA +3 1.1% FREE PLAY </v>
      </c>
      <c r="E767" s="11">
        <v>1.1000000000000001</v>
      </c>
      <c r="F767" s="11">
        <v>-1.1000000000000001</v>
      </c>
      <c r="G767" s="11" t="s">
        <v>4</v>
      </c>
      <c r="H767" s="13">
        <v>1000</v>
      </c>
      <c r="I767" s="14">
        <f t="shared" si="25"/>
        <v>-0.27962780000000009</v>
      </c>
      <c r="J767" s="13">
        <f t="shared" si="26"/>
        <v>244214.09</v>
      </c>
    </row>
    <row r="768" spans="1:10" x14ac:dyDescent="0.25">
      <c r="A768" s="10">
        <v>43421.645833333336</v>
      </c>
      <c r="B768" s="11" t="s">
        <v>8</v>
      </c>
      <c r="C768" s="11" t="s">
        <v>18</v>
      </c>
      <c r="D768" s="16" t="str">
        <f>HYPERLINK("https://freddywills.com/pick/7005/money-line-dog-of-the-week-180-or-higher-4-ml-dow-winners-in-a-row-over-15-roi.html", "Virginia +190 2.5% ML Dog of the Week")</f>
        <v>Virginia +190 2.5% ML Dog of the Week</v>
      </c>
      <c r="E768" s="11">
        <v>2.5</v>
      </c>
      <c r="F768" s="11">
        <v>1.9</v>
      </c>
      <c r="G768" s="11" t="s">
        <v>6</v>
      </c>
      <c r="H768" s="13">
        <v>-2500</v>
      </c>
      <c r="I768" s="14">
        <f t="shared" si="25"/>
        <v>-0.2896278000000001</v>
      </c>
      <c r="J768" s="13">
        <f t="shared" si="26"/>
        <v>243214.09</v>
      </c>
    </row>
    <row r="769" spans="1:10" x14ac:dyDescent="0.25">
      <c r="A769" s="10">
        <v>43421.604166666664</v>
      </c>
      <c r="B769" s="11" t="s">
        <v>8</v>
      </c>
      <c r="C769" s="11" t="s">
        <v>5</v>
      </c>
      <c r="D769" s="16" t="str">
        <f>HYPERLINK("https://freddywills.com/pick/7003/game-of-the-week-syracuse-vs-notredame-94-4-roi-career-l2-weeks-november.html", "Syracuse +10 3.3% play ")</f>
        <v xml:space="preserve">Syracuse +10 3.3% play </v>
      </c>
      <c r="E769" s="11">
        <v>3.3</v>
      </c>
      <c r="F769" s="11">
        <v>-1.1000000000000001</v>
      </c>
      <c r="G769" s="11" t="s">
        <v>6</v>
      </c>
      <c r="H769" s="13">
        <v>-3300</v>
      </c>
      <c r="I769" s="14">
        <f t="shared" si="25"/>
        <v>-0.26462780000000008</v>
      </c>
      <c r="J769" s="13">
        <f t="shared" si="26"/>
        <v>245714.09</v>
      </c>
    </row>
    <row r="770" spans="1:10" x14ac:dyDescent="0.25">
      <c r="A770" s="10">
        <v>43421.583333333336</v>
      </c>
      <c r="B770" s="11" t="s">
        <v>8</v>
      </c>
      <c r="C770" s="11" t="s">
        <v>5</v>
      </c>
      <c r="D770" s="16" t="str">
        <f>HYPERLINK("https://freddywills.com/pick/7007/charlotte-vs-florida-international-hidden-gem-guaranteed-or-back.html", "Charlotte +6 3.3% play")</f>
        <v>Charlotte +6 3.3% play</v>
      </c>
      <c r="E770" s="11">
        <v>3.3</v>
      </c>
      <c r="F770" s="11">
        <v>-1.1000000000000001</v>
      </c>
      <c r="G770" s="11" t="s">
        <v>6</v>
      </c>
      <c r="H770" s="13">
        <v>-3300</v>
      </c>
      <c r="I770" s="14">
        <f t="shared" si="25"/>
        <v>-0.23162780000000008</v>
      </c>
      <c r="J770" s="13">
        <f t="shared" si="26"/>
        <v>249014.09</v>
      </c>
    </row>
    <row r="771" spans="1:10" x14ac:dyDescent="0.25">
      <c r="A771" s="10">
        <v>43421.5625</v>
      </c>
      <c r="B771" s="11" t="s">
        <v>8</v>
      </c>
      <c r="C771" s="11" t="s">
        <v>5</v>
      </c>
      <c r="D771" s="16" t="str">
        <f>HYPERLINK("https://freddywills.com/pick/7001/5-ncaaf-pod-guaranteed-or-back-utah-vs-colorado.html", "Colorado +7 -105 5% NCAAF POD")</f>
        <v>Colorado +7 -105 5% NCAAF POD</v>
      </c>
      <c r="E771" s="11">
        <v>5</v>
      </c>
      <c r="F771" s="11">
        <v>-1.05</v>
      </c>
      <c r="G771" s="11" t="s">
        <v>6</v>
      </c>
      <c r="H771" s="13">
        <v>-5000</v>
      </c>
      <c r="I771" s="14">
        <f t="shared" si="25"/>
        <v>-0.19862780000000008</v>
      </c>
      <c r="J771" s="13">
        <f t="shared" si="26"/>
        <v>252314.09</v>
      </c>
    </row>
    <row r="772" spans="1:10" x14ac:dyDescent="0.25">
      <c r="A772" s="10">
        <v>43421.5</v>
      </c>
      <c r="B772" s="11" t="s">
        <v>8</v>
      </c>
      <c r="C772" s="11" t="s">
        <v>5</v>
      </c>
      <c r="D772" s="16" t="str">
        <f>HYPERLINK("https://freddywills.com/pick/6999/big-ten-early-bird-special-minnesota-vs-northwestern.html", "Minnesota -2 3.3% play ")</f>
        <v xml:space="preserve">Minnesota -2 3.3% play </v>
      </c>
      <c r="E772" s="11">
        <v>3.3</v>
      </c>
      <c r="F772" s="11">
        <v>-1.1000000000000001</v>
      </c>
      <c r="G772" s="11" t="s">
        <v>6</v>
      </c>
      <c r="H772" s="13">
        <v>-3300</v>
      </c>
      <c r="I772" s="14">
        <f t="shared" si="25"/>
        <v>-0.14862780000000009</v>
      </c>
      <c r="J772" s="13">
        <f t="shared" si="26"/>
        <v>257314.09</v>
      </c>
    </row>
    <row r="773" spans="1:10" x14ac:dyDescent="0.25">
      <c r="A773" s="10">
        <v>43421.5</v>
      </c>
      <c r="B773" s="11" t="s">
        <v>8</v>
      </c>
      <c r="C773" s="11" t="s">
        <v>5</v>
      </c>
      <c r="D773" s="16" t="str">
        <f>HYPERLINK("https://freddywills.com/pick/7000/4-4-big12-showdown-guaranteed-or-back-180-135-l315-ncaaf-4-plays-122-5-roi.html", "TCU -1 4.4% PLAY ")</f>
        <v xml:space="preserve">TCU -1 4.4% PLAY </v>
      </c>
      <c r="E773" s="11">
        <v>4.4000000000000004</v>
      </c>
      <c r="F773" s="11">
        <v>-1.1000000000000001</v>
      </c>
      <c r="G773" s="11" t="s">
        <v>4</v>
      </c>
      <c r="H773" s="13">
        <v>4000</v>
      </c>
      <c r="I773" s="14">
        <f t="shared" si="25"/>
        <v>-0.11562780000000009</v>
      </c>
      <c r="J773" s="13">
        <f t="shared" si="26"/>
        <v>260614.09</v>
      </c>
    </row>
    <row r="774" spans="1:10" x14ac:dyDescent="0.25">
      <c r="A774" s="10">
        <v>43420.875</v>
      </c>
      <c r="B774" s="11" t="s">
        <v>8</v>
      </c>
      <c r="C774" s="11" t="s">
        <v>5</v>
      </c>
      <c r="D774" s="16" t="str">
        <f>HYPERLINK("https://freddywills.com/pick/6998/4-4-ncaaf-pod-friday-night-lights-guaranteed-or-saturday-is-free.html", "SMU +7.5 4.4% NCAAF POD")</f>
        <v>SMU +7.5 4.4% NCAAF POD</v>
      </c>
      <c r="E774" s="11">
        <v>4.4000000000000004</v>
      </c>
      <c r="F774" s="11">
        <v>-1.1000000000000001</v>
      </c>
      <c r="G774" s="11" t="s">
        <v>6</v>
      </c>
      <c r="H774" s="13">
        <v>-4400</v>
      </c>
      <c r="I774" s="14">
        <f t="shared" si="25"/>
        <v>-0.15562780000000009</v>
      </c>
      <c r="J774" s="13">
        <f t="shared" si="26"/>
        <v>256614.09</v>
      </c>
    </row>
    <row r="775" spans="1:10" x14ac:dyDescent="0.25">
      <c r="A775" s="10">
        <v>43418.833333333336</v>
      </c>
      <c r="B775" s="11" t="s">
        <v>8</v>
      </c>
      <c r="C775" s="11" t="s">
        <v>5</v>
      </c>
      <c r="D775" s="16" t="str">
        <f>HYPERLINK("https://freddywills.com/pick/6996/4-5-ncaaf-pod-maction-guaranteed-or-back.html", "Miami Ohio +6.5 4.5% POD")</f>
        <v>Miami Ohio +6.5 4.5% POD</v>
      </c>
      <c r="E775" s="11">
        <v>4.5</v>
      </c>
      <c r="F775" s="11">
        <v>-1.05</v>
      </c>
      <c r="G775" s="11" t="s">
        <v>4</v>
      </c>
      <c r="H775" s="13">
        <v>4285.71</v>
      </c>
      <c r="I775" s="14">
        <f t="shared" si="25"/>
        <v>-0.11162780000000008</v>
      </c>
      <c r="J775" s="13">
        <f t="shared" si="26"/>
        <v>261014.09</v>
      </c>
    </row>
    <row r="776" spans="1:10" x14ac:dyDescent="0.25">
      <c r="A776" s="10">
        <v>43418.791666666664</v>
      </c>
      <c r="B776" s="11" t="s">
        <v>8</v>
      </c>
      <c r="C776" s="11" t="s">
        <v>18</v>
      </c>
      <c r="D776" s="16" t="str">
        <f>HYPERLINK("https://freddywills.com/pick/6997/ml-dog-play-1-5-play-guaranteed-or-back.html", "Buffalo +121 1.5% play ")</f>
        <v xml:space="preserve">Buffalo +121 1.5% play </v>
      </c>
      <c r="E776" s="11">
        <v>1.5</v>
      </c>
      <c r="F776" s="11">
        <v>1.21</v>
      </c>
      <c r="G776" s="11" t="s">
        <v>6</v>
      </c>
      <c r="H776" s="13">
        <v>-1500</v>
      </c>
      <c r="I776" s="14">
        <f t="shared" si="25"/>
        <v>-0.15448490000000009</v>
      </c>
      <c r="J776" s="13">
        <f t="shared" si="26"/>
        <v>256728.38</v>
      </c>
    </row>
    <row r="777" spans="1:10" x14ac:dyDescent="0.25">
      <c r="A777" s="10">
        <v>43416.854166666664</v>
      </c>
      <c r="B777" s="11" t="s">
        <v>2</v>
      </c>
      <c r="C777" s="11" t="s">
        <v>5</v>
      </c>
      <c r="D777" s="16" t="str">
        <f>HYPERLINK("https://freddywills.com/pick/6994/monday-night-football-play-giants-vs-49ers.html", "Giants +3.5 -113 3.5% MONDAY NIGHT FOOTBALL")</f>
        <v>Giants +3.5 -113 3.5% MONDAY NIGHT FOOTBALL</v>
      </c>
      <c r="E777" s="11">
        <v>3.5</v>
      </c>
      <c r="F777" s="11">
        <v>-1.1299999999999999</v>
      </c>
      <c r="G777" s="11" t="s">
        <v>4</v>
      </c>
      <c r="H777" s="13">
        <v>3097.35</v>
      </c>
      <c r="I777" s="14">
        <f t="shared" ref="I777:I840" si="27">(H777/100000)+I778</f>
        <v>-0.13948490000000008</v>
      </c>
      <c r="J777" s="13">
        <f t="shared" ref="J777:J840" si="28">H777+J778</f>
        <v>258228.38</v>
      </c>
    </row>
    <row r="778" spans="1:10" x14ac:dyDescent="0.25">
      <c r="A778" s="10">
        <v>43415.684027777781</v>
      </c>
      <c r="B778" s="11" t="s">
        <v>2</v>
      </c>
      <c r="C778" s="11" t="s">
        <v>5</v>
      </c>
      <c r="D778" s="16" t="str">
        <f>HYPERLINK("https://freddywills.com/pick/6990/seahawks-vs-rams-guaranteed-or-back-46-31-l77-nfl-plays.html", "Seahawks +9 3.3% play ")</f>
        <v xml:space="preserve">Seahawks +9 3.3% play </v>
      </c>
      <c r="E778" s="11">
        <v>3.3</v>
      </c>
      <c r="F778" s="11">
        <v>-1.1000000000000001</v>
      </c>
      <c r="G778" s="11" t="s">
        <v>4</v>
      </c>
      <c r="H778" s="13">
        <v>3000</v>
      </c>
      <c r="I778" s="14">
        <f t="shared" si="27"/>
        <v>-0.17045840000000007</v>
      </c>
      <c r="J778" s="13">
        <f t="shared" si="28"/>
        <v>255131.03</v>
      </c>
    </row>
    <row r="779" spans="1:10" x14ac:dyDescent="0.25">
      <c r="A779" s="10">
        <v>43415.541666666664</v>
      </c>
      <c r="B779" s="11" t="s">
        <v>2</v>
      </c>
      <c r="C779" s="11" t="s">
        <v>5</v>
      </c>
      <c r="D779" s="16" t="str">
        <f>HYPERLINK("https://freddywills.com/pick/6989/early-bird-special-browns-vs-falcons-guaranteed-or-back.html", "Browns +6.5 3.3% play ")</f>
        <v xml:space="preserve">Browns +6.5 3.3% play </v>
      </c>
      <c r="E779" s="11">
        <v>3.3</v>
      </c>
      <c r="F779" s="11">
        <v>-1.1000000000000001</v>
      </c>
      <c r="G779" s="11" t="s">
        <v>4</v>
      </c>
      <c r="H779" s="13">
        <v>3000</v>
      </c>
      <c r="I779" s="14">
        <f t="shared" si="27"/>
        <v>-0.20045840000000006</v>
      </c>
      <c r="J779" s="13">
        <f t="shared" si="28"/>
        <v>252131.03</v>
      </c>
    </row>
    <row r="780" spans="1:10" x14ac:dyDescent="0.25">
      <c r="A780" s="10">
        <v>43415.541666666664</v>
      </c>
      <c r="B780" s="11" t="s">
        <v>2</v>
      </c>
      <c r="C780" s="11" t="s">
        <v>18</v>
      </c>
      <c r="D780" s="16" t="str">
        <f>HYPERLINK("https://freddywills.com/pick/6991/nfl-money-line-dog-of-the-week-200-or-more-20-19-l39-nfl-dogs-48-89-roi.html", "Lions +275 1.5% ML Dog Play ")</f>
        <v xml:space="preserve">Lions +275 1.5% ML Dog Play </v>
      </c>
      <c r="E780" s="11">
        <v>1.5</v>
      </c>
      <c r="F780" s="11">
        <v>2.75</v>
      </c>
      <c r="G780" s="11" t="s">
        <v>6</v>
      </c>
      <c r="H780" s="13">
        <v>-1500</v>
      </c>
      <c r="I780" s="14">
        <f t="shared" si="27"/>
        <v>-0.23045840000000006</v>
      </c>
      <c r="J780" s="13">
        <f t="shared" si="28"/>
        <v>249131.03</v>
      </c>
    </row>
    <row r="781" spans="1:10" x14ac:dyDescent="0.25">
      <c r="A781" s="10">
        <v>43415.541666666664</v>
      </c>
      <c r="B781" s="11" t="s">
        <v>2</v>
      </c>
      <c r="C781" s="11" t="s">
        <v>5</v>
      </c>
      <c r="D781" s="16" t="str">
        <f>HYPERLINK("https://freddywills.com/pick/6992/5-5-nfl-max-pod-guaranteed-or-back-46-31-l77-nfl-picks.html", "Bengals +6 5.5% NFL POD")</f>
        <v>Bengals +6 5.5% NFL POD</v>
      </c>
      <c r="E781" s="11">
        <v>5.5</v>
      </c>
      <c r="F781" s="11">
        <v>-1.1000000000000001</v>
      </c>
      <c r="G781" s="11" t="s">
        <v>6</v>
      </c>
      <c r="H781" s="13">
        <v>-5500</v>
      </c>
      <c r="I781" s="14">
        <f t="shared" si="27"/>
        <v>-0.21545840000000008</v>
      </c>
      <c r="J781" s="13">
        <f t="shared" si="28"/>
        <v>250631.03</v>
      </c>
    </row>
    <row r="782" spans="1:10" x14ac:dyDescent="0.25">
      <c r="A782" s="10">
        <v>43415.541666666664</v>
      </c>
      <c r="B782" s="11" t="s">
        <v>2</v>
      </c>
      <c r="C782" s="11" t="s">
        <v>7</v>
      </c>
      <c r="D782" s="16" t="str">
        <f>HYPERLINK("https://freddywills.com/pick/6993/total-of-the-week-nfl-play.html", "Bengals/Saints U54 2.2% play ")</f>
        <v xml:space="preserve">Bengals/Saints U54 2.2% play </v>
      </c>
      <c r="E782" s="11">
        <v>2.2000000000000002</v>
      </c>
      <c r="F782" s="11">
        <v>-1.1000000000000001</v>
      </c>
      <c r="G782" s="11" t="s">
        <v>6</v>
      </c>
      <c r="H782" s="13">
        <v>-2200</v>
      </c>
      <c r="I782" s="14">
        <f t="shared" si="27"/>
        <v>-0.16045840000000008</v>
      </c>
      <c r="J782" s="13">
        <f t="shared" si="28"/>
        <v>256131.03</v>
      </c>
    </row>
    <row r="783" spans="1:10" x14ac:dyDescent="0.25">
      <c r="A783" s="10">
        <v>43414.8125</v>
      </c>
      <c r="B783" s="11" t="s">
        <v>8</v>
      </c>
      <c r="C783" s="11" t="s">
        <v>5</v>
      </c>
      <c r="D783" s="16" t="str">
        <f>HYPERLINK("https://freddywills.com/pick/6983/sec-match-up-arkansas-vs-lsu-guaranteed-or-back-w-bonus-play.html", "Arkansas +13.5 3.3% Play ")</f>
        <v xml:space="preserve">Arkansas +13.5 3.3% Play </v>
      </c>
      <c r="E783" s="11">
        <v>3.3</v>
      </c>
      <c r="F783" s="11">
        <v>-1.1000000000000001</v>
      </c>
      <c r="G783" s="11" t="s">
        <v>4</v>
      </c>
      <c r="H783" s="13">
        <v>3000</v>
      </c>
      <c r="I783" s="14">
        <f t="shared" si="27"/>
        <v>-0.13845840000000009</v>
      </c>
      <c r="J783" s="13">
        <f t="shared" si="28"/>
        <v>258331.03</v>
      </c>
    </row>
    <row r="784" spans="1:10" x14ac:dyDescent="0.25">
      <c r="A784" s="10">
        <v>43414.8125</v>
      </c>
      <c r="B784" s="11" t="s">
        <v>8</v>
      </c>
      <c r="C784" s="11" t="s">
        <v>18</v>
      </c>
      <c r="D784" s="16" t="str">
        <f>HYPERLINK("https://freddywills.com/pick/6984/dog-bonus-play-400-or-higher-guaranteed-or-back-w-spread-bonus.html", "Arkansas +445 1% Bonus")</f>
        <v>Arkansas +445 1% Bonus</v>
      </c>
      <c r="E784" s="11">
        <v>1</v>
      </c>
      <c r="F784" s="11">
        <v>4.45</v>
      </c>
      <c r="G784" s="11" t="s">
        <v>6</v>
      </c>
      <c r="H784" s="13">
        <v>-1000</v>
      </c>
      <c r="I784" s="14">
        <f t="shared" si="27"/>
        <v>-0.16845840000000009</v>
      </c>
      <c r="J784" s="13">
        <f t="shared" si="28"/>
        <v>255331.03</v>
      </c>
    </row>
    <row r="785" spans="1:10" x14ac:dyDescent="0.25">
      <c r="A785" s="10">
        <v>43414.791666666664</v>
      </c>
      <c r="B785" s="11" t="s">
        <v>8</v>
      </c>
      <c r="C785" s="11" t="s">
        <v>5</v>
      </c>
      <c r="D785" s="16" t="str">
        <f>HYPERLINK("https://freddywills.com/pick/6979/sec-primetime-match-up-georgia-vs-auburn-3-3-play-guaranteed-or-back.html", "Georgia -14 3.3% play ")</f>
        <v xml:space="preserve">Georgia -14 3.3% play </v>
      </c>
      <c r="E785" s="11">
        <v>3.3</v>
      </c>
      <c r="F785" s="11">
        <v>-1.1000000000000001</v>
      </c>
      <c r="G785" s="11" t="s">
        <v>4</v>
      </c>
      <c r="H785" s="13">
        <v>3000</v>
      </c>
      <c r="I785" s="14">
        <f t="shared" si="27"/>
        <v>-0.15845840000000008</v>
      </c>
      <c r="J785" s="13">
        <f t="shared" si="28"/>
        <v>256331.03</v>
      </c>
    </row>
    <row r="786" spans="1:10" x14ac:dyDescent="0.25">
      <c r="A786" s="10">
        <v>43414.645833333336</v>
      </c>
      <c r="B786" s="11" t="s">
        <v>8</v>
      </c>
      <c r="C786" s="11" t="s">
        <v>18</v>
      </c>
      <c r="D786" s="16" t="str">
        <f>HYPERLINK("https://freddywills.com/pick/6981/college-football-dog-of-the-week-81-108-l189-ncaaf-dog-plays-94-43-roi.html", "Tennessee +195 2.5% Play")</f>
        <v>Tennessee +195 2.5% Play</v>
      </c>
      <c r="E786" s="11">
        <v>2.5</v>
      </c>
      <c r="F786" s="11">
        <v>1.95</v>
      </c>
      <c r="G786" s="11" t="s">
        <v>4</v>
      </c>
      <c r="H786" s="13">
        <v>4875</v>
      </c>
      <c r="I786" s="14">
        <f t="shared" si="27"/>
        <v>-0.18845840000000008</v>
      </c>
      <c r="J786" s="13">
        <f t="shared" si="28"/>
        <v>253331.03</v>
      </c>
    </row>
    <row r="787" spans="1:10" x14ac:dyDescent="0.25">
      <c r="A787" s="10">
        <v>43414.645833333336</v>
      </c>
      <c r="B787" s="11" t="s">
        <v>8</v>
      </c>
      <c r="C787" s="11" t="s">
        <v>7</v>
      </c>
      <c r="D787" s="16" t="str">
        <f>HYPERLINK("https://freddywills.com/pick/6987/northwestern-vs-iowa-total-of-the-week-guaranteed-or-back.html", "Northwestern/Iowa Over 42 3.3% play ")</f>
        <v xml:space="preserve">Northwestern/Iowa Over 42 3.3% play </v>
      </c>
      <c r="E787" s="11">
        <v>3.3</v>
      </c>
      <c r="F787" s="11">
        <v>-1.1000000000000001</v>
      </c>
      <c r="G787" s="11" t="s">
        <v>6</v>
      </c>
      <c r="H787" s="13">
        <v>-3300</v>
      </c>
      <c r="I787" s="14">
        <f t="shared" si="27"/>
        <v>-0.23720840000000007</v>
      </c>
      <c r="J787" s="13">
        <f t="shared" si="28"/>
        <v>248456.03</v>
      </c>
    </row>
    <row r="788" spans="1:10" x14ac:dyDescent="0.25">
      <c r="A788" s="10">
        <v>43414.645833333336</v>
      </c>
      <c r="B788" s="11" t="s">
        <v>8</v>
      </c>
      <c r="C788" s="11" t="s">
        <v>7</v>
      </c>
      <c r="D788" s="16" t="str">
        <f>HYPERLINK("https://freddywills.com/pick/6988/alabama-vs-missstate-premium-play-guaranteed-or-back.html", "Alabama / Miss State Under 52 2.2% play ")</f>
        <v xml:space="preserve">Alabama / Miss State Under 52 2.2% play </v>
      </c>
      <c r="E788" s="11">
        <v>2.2000000000000002</v>
      </c>
      <c r="F788" s="11">
        <v>-1.1000000000000001</v>
      </c>
      <c r="G788" s="11" t="s">
        <v>4</v>
      </c>
      <c r="H788" s="13">
        <v>2000</v>
      </c>
      <c r="I788" s="14">
        <f t="shared" si="27"/>
        <v>-0.20420840000000007</v>
      </c>
      <c r="J788" s="13">
        <f t="shared" si="28"/>
        <v>251756.03</v>
      </c>
    </row>
    <row r="789" spans="1:10" x14ac:dyDescent="0.25">
      <c r="A789" s="10">
        <v>43414.513888888891</v>
      </c>
      <c r="B789" s="11" t="s">
        <v>8</v>
      </c>
      <c r="C789" s="11" t="s">
        <v>5</v>
      </c>
      <c r="D789" s="16" t="str">
        <f>HYPERLINK("https://freddywills.com/pick/6980/premium-newsletter-play-60-ats-l2-years-acc-rivalry-game-3-3-play-duke-vs-northcarolina.html", "North Carolina +11 3.3% PLAY")</f>
        <v>North Carolina +11 3.3% PLAY</v>
      </c>
      <c r="E789" s="11">
        <v>3.3</v>
      </c>
      <c r="F789" s="11">
        <v>-1.1000000000000001</v>
      </c>
      <c r="G789" s="11" t="s">
        <v>4</v>
      </c>
      <c r="H789" s="13">
        <v>3000</v>
      </c>
      <c r="I789" s="14">
        <f t="shared" si="27"/>
        <v>-0.22420840000000006</v>
      </c>
      <c r="J789" s="13">
        <f t="shared" si="28"/>
        <v>249756.03</v>
      </c>
    </row>
    <row r="790" spans="1:10" x14ac:dyDescent="0.25">
      <c r="A790" s="10">
        <v>43414.5</v>
      </c>
      <c r="B790" s="11" t="s">
        <v>8</v>
      </c>
      <c r="C790" s="11" t="s">
        <v>5</v>
      </c>
      <c r="D790" s="16" t="str">
        <f>HYPERLINK("https://freddywills.com/pick/6978/4-4-ncaaf-pod-guaranteed-or-back-12pm-saturday-big10.html", "Indiana -1.5 4.4% NCAAF POD")</f>
        <v>Indiana -1.5 4.4% NCAAF POD</v>
      </c>
      <c r="E790" s="11">
        <v>4.4000000000000004</v>
      </c>
      <c r="F790" s="11">
        <v>-1.1000000000000001</v>
      </c>
      <c r="G790" s="11" t="s">
        <v>4</v>
      </c>
      <c r="H790" s="13">
        <v>4000</v>
      </c>
      <c r="I790" s="14">
        <f t="shared" si="27"/>
        <v>-0.25420840000000006</v>
      </c>
      <c r="J790" s="13">
        <f t="shared" si="28"/>
        <v>246756.03</v>
      </c>
    </row>
    <row r="791" spans="1:10" x14ac:dyDescent="0.25">
      <c r="A791" s="10">
        <v>43414.5</v>
      </c>
      <c r="B791" s="11" t="s">
        <v>8</v>
      </c>
      <c r="C791" s="11" t="s">
        <v>5</v>
      </c>
      <c r="D791" s="16" t="str">
        <f>HYPERLINK("https://freddywills.com/pick/6982/big-12-game-of-the-week-tcu-vs-westvirginia-guaranteed-or-back.html", "TCU +11.5 3.3% PLAY ")</f>
        <v xml:space="preserve">TCU +11.5 3.3% PLAY </v>
      </c>
      <c r="E791" s="11">
        <v>3.3</v>
      </c>
      <c r="F791" s="11">
        <v>-1.1000000000000001</v>
      </c>
      <c r="G791" s="11" t="s">
        <v>6</v>
      </c>
      <c r="H791" s="13">
        <v>-3300</v>
      </c>
      <c r="I791" s="14">
        <f t="shared" si="27"/>
        <v>-0.29420840000000004</v>
      </c>
      <c r="J791" s="13">
        <f t="shared" si="28"/>
        <v>242756.03</v>
      </c>
    </row>
    <row r="792" spans="1:10" x14ac:dyDescent="0.25">
      <c r="A792" s="10">
        <v>43414.5</v>
      </c>
      <c r="B792" s="11" t="s">
        <v>8</v>
      </c>
      <c r="C792" s="11" t="s">
        <v>5</v>
      </c>
      <c r="D792" s="16" t="str">
        <f>HYPERLINK("https://freddywills.com/pick/6985/1-1-free-play-saturday-36-14-ats-l50-free-college-picks.html", "Navy +24.5 1.1% Free Play ")</f>
        <v xml:space="preserve">Navy +24.5 1.1% Free Play </v>
      </c>
      <c r="E792" s="11">
        <v>1.1000000000000001</v>
      </c>
      <c r="F792" s="11">
        <v>-1.1000000000000001</v>
      </c>
      <c r="G792" s="11" t="s">
        <v>4</v>
      </c>
      <c r="H792" s="13">
        <v>1000</v>
      </c>
      <c r="I792" s="14">
        <f t="shared" si="27"/>
        <v>-0.26120840000000001</v>
      </c>
      <c r="J792" s="13">
        <f t="shared" si="28"/>
        <v>246056.03</v>
      </c>
    </row>
    <row r="793" spans="1:10" x14ac:dyDescent="0.25">
      <c r="A793" s="10">
        <v>43413.927083333336</v>
      </c>
      <c r="B793" s="11" t="s">
        <v>8</v>
      </c>
      <c r="C793" s="11" t="s">
        <v>18</v>
      </c>
      <c r="D793" s="16" t="str">
        <f>HYPERLINK("https://freddywills.com/pick/6986/boise-state-vs-fresno-state-guaranteed-or-saturday-frer.html", "Boise State +130 3% play")</f>
        <v>Boise State +130 3% play</v>
      </c>
      <c r="E793" s="11">
        <v>3</v>
      </c>
      <c r="F793" s="11">
        <v>-1.1000000000000001</v>
      </c>
      <c r="G793" s="11" t="s">
        <v>4</v>
      </c>
      <c r="H793" s="13">
        <v>2727.27</v>
      </c>
      <c r="I793" s="14">
        <f t="shared" si="27"/>
        <v>-0.27120840000000002</v>
      </c>
      <c r="J793" s="13">
        <f t="shared" si="28"/>
        <v>245056.03</v>
      </c>
    </row>
    <row r="794" spans="1:10" x14ac:dyDescent="0.25">
      <c r="A794" s="10">
        <v>43411.791666666664</v>
      </c>
      <c r="B794" s="11" t="s">
        <v>8</v>
      </c>
      <c r="C794" s="11" t="s">
        <v>5</v>
      </c>
      <c r="D794" s="16" t="str">
        <f>HYPERLINK("https://freddywills.com/pick/6977/maction-battleofthebricks-ohio-vs-miamiohio.html", "Miami Ohio +4.5 2.2% play ")</f>
        <v xml:space="preserve">Miami Ohio +4.5 2.2% play </v>
      </c>
      <c r="E794" s="11">
        <v>2.2000000000000002</v>
      </c>
      <c r="F794" s="11">
        <v>-1.1000000000000001</v>
      </c>
      <c r="G794" s="11" t="s">
        <v>4</v>
      </c>
      <c r="H794" s="13">
        <v>2000</v>
      </c>
      <c r="I794" s="14">
        <f t="shared" si="27"/>
        <v>-0.2984811</v>
      </c>
      <c r="J794" s="13">
        <f t="shared" si="28"/>
        <v>242328.76</v>
      </c>
    </row>
    <row r="795" spans="1:10" x14ac:dyDescent="0.25">
      <c r="A795" s="10">
        <v>43408.670138888891</v>
      </c>
      <c r="B795" s="11" t="s">
        <v>2</v>
      </c>
      <c r="C795" s="11" t="s">
        <v>5</v>
      </c>
      <c r="D795" s="16" t="str">
        <f>HYPERLINK("https://freddywills.com/pick/6971/5-5-nfl-pod-39-22-ats-l61-max-rated-nfl-pod-s-15-4-ats-following-a-loss.html", "Seahawks pk 5.5% POD")</f>
        <v>Seahawks pk 5.5% POD</v>
      </c>
      <c r="E795" s="11">
        <v>5.5</v>
      </c>
      <c r="F795" s="11">
        <v>-1.1000000000000001</v>
      </c>
      <c r="G795" s="11" t="s">
        <v>6</v>
      </c>
      <c r="H795" s="13">
        <v>-5500</v>
      </c>
      <c r="I795" s="14">
        <f t="shared" si="27"/>
        <v>-0.31848110000000002</v>
      </c>
      <c r="J795" s="13">
        <f t="shared" si="28"/>
        <v>240328.76</v>
      </c>
    </row>
    <row r="796" spans="1:10" x14ac:dyDescent="0.25">
      <c r="A796" s="10">
        <v>43408.670138888891</v>
      </c>
      <c r="B796" s="11" t="s">
        <v>2</v>
      </c>
      <c r="C796" s="11" t="s">
        <v>5</v>
      </c>
      <c r="D796" s="16" t="str">
        <f>HYPERLINK("https://freddywills.com/pick/6975/1-1-nfl-free-play-42-22-l64-free-nfl-picks-texans-vs-broncos.html", "Broncos -1 1.1% Free Play")</f>
        <v>Broncos -1 1.1% Free Play</v>
      </c>
      <c r="E796" s="11">
        <v>1.1000000000000001</v>
      </c>
      <c r="F796" s="11">
        <v>-1.1000000000000001</v>
      </c>
      <c r="G796" s="11" t="s">
        <v>6</v>
      </c>
      <c r="H796" s="13">
        <v>-1100</v>
      </c>
      <c r="I796" s="14">
        <f t="shared" si="27"/>
        <v>-0.26348110000000002</v>
      </c>
      <c r="J796" s="13">
        <f t="shared" si="28"/>
        <v>245828.76</v>
      </c>
    </row>
    <row r="797" spans="1:10" x14ac:dyDescent="0.25">
      <c r="A797" s="10">
        <v>43408.541666666664</v>
      </c>
      <c r="B797" s="11" t="s">
        <v>2</v>
      </c>
      <c r="C797" s="11" t="s">
        <v>5</v>
      </c>
      <c r="D797" s="16" t="str">
        <f>HYPERLINK("https://freddywills.com/pick/6972/bills-vs-bears-25-15-this-season.html", "Bills +10.5 2.2 %play")</f>
        <v>Bills +10.5 2.2 %play</v>
      </c>
      <c r="E797" s="11">
        <v>2.2000000000000002</v>
      </c>
      <c r="F797" s="11">
        <v>-1.1000000000000001</v>
      </c>
      <c r="G797" s="11" t="s">
        <v>6</v>
      </c>
      <c r="H797" s="13">
        <v>-2200</v>
      </c>
      <c r="I797" s="14">
        <f t="shared" si="27"/>
        <v>-0.25248110000000001</v>
      </c>
      <c r="J797" s="13">
        <f t="shared" si="28"/>
        <v>246928.76</v>
      </c>
    </row>
    <row r="798" spans="1:10" x14ac:dyDescent="0.25">
      <c r="A798" s="10">
        <v>43408.541666666664</v>
      </c>
      <c r="B798" s="11" t="s">
        <v>2</v>
      </c>
      <c r="C798" s="11" t="s">
        <v>18</v>
      </c>
      <c r="D798" s="16" t="str">
        <f>HYPERLINK("https://freddywills.com/pick/6973/nfl-money-line-dog-of-the-day-19-18-l37-nfl-dog-48-5-roi.html", "Steelers +110 3% play ")</f>
        <v xml:space="preserve">Steelers +110 3% play </v>
      </c>
      <c r="E798" s="11">
        <v>3</v>
      </c>
      <c r="F798" s="11">
        <v>1.1000000000000001</v>
      </c>
      <c r="G798" s="11" t="s">
        <v>4</v>
      </c>
      <c r="H798" s="13">
        <v>3300</v>
      </c>
      <c r="I798" s="14">
        <f t="shared" si="27"/>
        <v>-0.23048110000000002</v>
      </c>
      <c r="J798" s="13">
        <f t="shared" si="28"/>
        <v>249128.76</v>
      </c>
    </row>
    <row r="799" spans="1:10" x14ac:dyDescent="0.25">
      <c r="A799" s="10">
        <v>43408.5</v>
      </c>
      <c r="B799" s="11" t="s">
        <v>2</v>
      </c>
      <c r="C799" s="11" t="s">
        <v>5</v>
      </c>
      <c r="D799" s="16" t="str">
        <f>HYPERLINK("https://freddywills.com/pick/6974/3-3-play-25-15-ats-this-season-guaranteed-or-back.html", "TB Bucs +6.5 3.3% play ")</f>
        <v xml:space="preserve">TB Bucs +6.5 3.3% play </v>
      </c>
      <c r="E799" s="11">
        <v>3.3</v>
      </c>
      <c r="F799" s="11">
        <v>-1.1000000000000001</v>
      </c>
      <c r="G799" s="11" t="s">
        <v>6</v>
      </c>
      <c r="H799" s="13">
        <v>-3300</v>
      </c>
      <c r="I799" s="14">
        <f t="shared" si="27"/>
        <v>-0.26348110000000002</v>
      </c>
      <c r="J799" s="13">
        <f t="shared" si="28"/>
        <v>245828.76</v>
      </c>
    </row>
    <row r="800" spans="1:10" x14ac:dyDescent="0.25">
      <c r="A800" s="10">
        <v>43408.5</v>
      </c>
      <c r="B800" s="11" t="s">
        <v>2</v>
      </c>
      <c r="C800" s="11" t="s">
        <v>18</v>
      </c>
      <c r="D800" s="16" t="str">
        <f>HYPERLINK("https://freddywills.com/pick/6976/money-line-dog-play-2-140-or-higher-19-18-l37-nfl-money-line-dog-plays-48-5.html", "Jets +145 3% Play ")</f>
        <v xml:space="preserve">Jets +145 3% Play </v>
      </c>
      <c r="E800" s="11">
        <v>3</v>
      </c>
      <c r="F800" s="11">
        <v>1.45</v>
      </c>
      <c r="G800" s="11" t="s">
        <v>6</v>
      </c>
      <c r="H800" s="13">
        <v>-3000</v>
      </c>
      <c r="I800" s="14">
        <f t="shared" si="27"/>
        <v>-0.23048109999999999</v>
      </c>
      <c r="J800" s="13">
        <f t="shared" si="28"/>
        <v>249128.76</v>
      </c>
    </row>
    <row r="801" spans="1:10" x14ac:dyDescent="0.25">
      <c r="A801" s="10">
        <v>43407.833333333336</v>
      </c>
      <c r="B801" s="11" t="s">
        <v>8</v>
      </c>
      <c r="C801" s="11" t="s">
        <v>5</v>
      </c>
      <c r="D801" s="16" t="str">
        <f>HYPERLINK("https://freddywills.com/pick/6967/game-of-the-week-lsu-vs-alabama-3-3-play-guaranteed-or-back.html", "Alabama -14.5 3.3% play ")</f>
        <v xml:space="preserve">Alabama -14.5 3.3% play </v>
      </c>
      <c r="E801" s="11">
        <v>3.3</v>
      </c>
      <c r="F801" s="11">
        <v>-1.1000000000000001</v>
      </c>
      <c r="G801" s="11" t="s">
        <v>4</v>
      </c>
      <c r="H801" s="13">
        <v>3000</v>
      </c>
      <c r="I801" s="14">
        <f t="shared" si="27"/>
        <v>-0.2004811</v>
      </c>
      <c r="J801" s="13">
        <f t="shared" si="28"/>
        <v>252128.76</v>
      </c>
    </row>
    <row r="802" spans="1:10" x14ac:dyDescent="0.25">
      <c r="A802" s="10">
        <v>43407.8125</v>
      </c>
      <c r="B802" s="11" t="s">
        <v>8</v>
      </c>
      <c r="C802" s="11" t="s">
        <v>18</v>
      </c>
      <c r="D802" s="16" t="str">
        <f>HYPERLINK("https://freddywills.com/pick/6964/3-5-money-line-dog-of-the-week-cal-375-last-week-45-08-roi-l95-ncaaf-ml-dog-plays.html", "Florida Atlantic +125 3.5% play ")</f>
        <v xml:space="preserve">Florida Atlantic +125 3.5% play </v>
      </c>
      <c r="E802" s="11">
        <v>3.5</v>
      </c>
      <c r="F802" s="11">
        <v>1.25</v>
      </c>
      <c r="G802" s="11" t="s">
        <v>4</v>
      </c>
      <c r="H802" s="13">
        <v>4375</v>
      </c>
      <c r="I802" s="14">
        <f t="shared" si="27"/>
        <v>-0.23048109999999999</v>
      </c>
      <c r="J802" s="13">
        <f t="shared" si="28"/>
        <v>249128.76</v>
      </c>
    </row>
    <row r="803" spans="1:10" x14ac:dyDescent="0.25">
      <c r="A803" s="10">
        <v>43407.802083333336</v>
      </c>
      <c r="B803" s="11" t="s">
        <v>8</v>
      </c>
      <c r="C803" s="11" t="s">
        <v>5</v>
      </c>
      <c r="D803" s="16" t="str">
        <f>HYPERLINK("https://freddywills.com/pick/6965/northwestern-vs-notredame-3-3-play-guaranteed-or-back.html", "Northwestern +10 3.3% play ")</f>
        <v xml:space="preserve">Northwestern +10 3.3% play </v>
      </c>
      <c r="E803" s="11">
        <v>3.3</v>
      </c>
      <c r="F803" s="11">
        <v>-1.1000000000000001</v>
      </c>
      <c r="G803" s="11" t="s">
        <v>9</v>
      </c>
      <c r="H803" s="13">
        <v>0</v>
      </c>
      <c r="I803" s="14">
        <f t="shared" si="27"/>
        <v>-0.27423110000000001</v>
      </c>
      <c r="J803" s="13">
        <f t="shared" si="28"/>
        <v>244753.76</v>
      </c>
    </row>
    <row r="804" spans="1:10" x14ac:dyDescent="0.25">
      <c r="A804" s="10">
        <v>43407.791666666664</v>
      </c>
      <c r="B804" s="11" t="s">
        <v>8</v>
      </c>
      <c r="C804" s="11" t="s">
        <v>5</v>
      </c>
      <c r="D804" s="16" t="str">
        <f>HYPERLINK("https://freddywills.com/pick/6968/16-3-backing-team-x-in-my-career-including-several-big-ml-dog-winners-guaranteed-or-back.html", "LA Tech +23.5 2.2% play ")</f>
        <v xml:space="preserve">LA Tech +23.5 2.2% play </v>
      </c>
      <c r="E804" s="11">
        <v>2.2000000000000002</v>
      </c>
      <c r="F804" s="11">
        <v>-1.1000000000000001</v>
      </c>
      <c r="G804" s="11" t="s">
        <v>6</v>
      </c>
      <c r="H804" s="13">
        <v>-2200</v>
      </c>
      <c r="I804" s="14">
        <f t="shared" si="27"/>
        <v>-0.27423110000000001</v>
      </c>
      <c r="J804" s="13">
        <f t="shared" si="28"/>
        <v>244753.76</v>
      </c>
    </row>
    <row r="805" spans="1:10" x14ac:dyDescent="0.25">
      <c r="A805" s="10">
        <v>43407.645833333336</v>
      </c>
      <c r="B805" s="11" t="s">
        <v>8</v>
      </c>
      <c r="C805" s="11" t="s">
        <v>18</v>
      </c>
      <c r="D805" s="16" t="str">
        <f>HYPERLINK("https://freddywills.com/pick/6962/max-rated-ncaaf-pod-62-ats-since-2011-in-november-on-max-pod-s-money-line-dog-action.html", "Liberty +115 5.5% POD")</f>
        <v>Liberty +115 5.5% POD</v>
      </c>
      <c r="E805" s="11">
        <v>5.5</v>
      </c>
      <c r="F805" s="11">
        <v>1.1499999999999999</v>
      </c>
      <c r="G805" s="11" t="s">
        <v>6</v>
      </c>
      <c r="H805" s="13">
        <v>-5500</v>
      </c>
      <c r="I805" s="14">
        <f t="shared" si="27"/>
        <v>-0.25223109999999999</v>
      </c>
      <c r="J805" s="13">
        <f t="shared" si="28"/>
        <v>246953.76</v>
      </c>
    </row>
    <row r="806" spans="1:10" x14ac:dyDescent="0.25">
      <c r="A806" s="10">
        <v>43407.645833333336</v>
      </c>
      <c r="B806" s="11" t="s">
        <v>8</v>
      </c>
      <c r="C806" s="11" t="s">
        <v>5</v>
      </c>
      <c r="D806" s="16" t="str">
        <f>HYPERLINK("https://freddywills.com/pick/6969/free-pick-week-10-37-13-last-50-free-plays-cal-375-winner-last-week.html", "Texas -1.5 2.2% Free Play ")</f>
        <v xml:space="preserve">Texas -1.5 2.2% Free Play </v>
      </c>
      <c r="E806" s="11">
        <v>2.2000000000000002</v>
      </c>
      <c r="F806" s="11">
        <v>-1.1000000000000001</v>
      </c>
      <c r="G806" s="11" t="s">
        <v>6</v>
      </c>
      <c r="H806" s="13">
        <v>-2200</v>
      </c>
      <c r="I806" s="14">
        <f t="shared" si="27"/>
        <v>-0.19723109999999999</v>
      </c>
      <c r="J806" s="13">
        <f t="shared" si="28"/>
        <v>252453.76000000001</v>
      </c>
    </row>
    <row r="807" spans="1:10" x14ac:dyDescent="0.25">
      <c r="A807" s="10">
        <v>43407.5</v>
      </c>
      <c r="B807" s="11" t="s">
        <v>8</v>
      </c>
      <c r="C807" s="11" t="s">
        <v>5</v>
      </c>
      <c r="D807" s="16" t="str">
        <f>HYPERLINK("https://freddywills.com/pick/6961/army-vs-airforce-premium-newsletter-play-14-10-1-ats-l2-years.html", "Air Force +6.5 3.3% play ")</f>
        <v xml:space="preserve">Air Force +6.5 3.3% play </v>
      </c>
      <c r="E807" s="11">
        <v>3.3</v>
      </c>
      <c r="F807" s="11">
        <v>-1.1000000000000001</v>
      </c>
      <c r="G807" s="11" t="s">
        <v>4</v>
      </c>
      <c r="H807" s="13">
        <v>3000</v>
      </c>
      <c r="I807" s="14">
        <f t="shared" si="27"/>
        <v>-0.1752311</v>
      </c>
      <c r="J807" s="13">
        <f t="shared" si="28"/>
        <v>254653.76</v>
      </c>
    </row>
    <row r="808" spans="1:10" x14ac:dyDescent="0.25">
      <c r="A808" s="10">
        <v>43407.5</v>
      </c>
      <c r="B808" s="11" t="s">
        <v>8</v>
      </c>
      <c r="C808" s="11" t="s">
        <v>5</v>
      </c>
      <c r="D808" s="16" t="str">
        <f>HYPERLINK("https://freddywills.com/pick/6963/early-bird-action-texasam-vs-auburn-guaranteed-or-back.html", "Texas AM +3.5 3.3% play ")</f>
        <v xml:space="preserve">Texas AM +3.5 3.3% play </v>
      </c>
      <c r="E808" s="11">
        <v>3.3</v>
      </c>
      <c r="F808" s="11">
        <v>-1.1000000000000001</v>
      </c>
      <c r="G808" s="11" t="s">
        <v>6</v>
      </c>
      <c r="H808" s="13">
        <v>-3300</v>
      </c>
      <c r="I808" s="14">
        <f t="shared" si="27"/>
        <v>-0.2052311</v>
      </c>
      <c r="J808" s="13">
        <f t="shared" si="28"/>
        <v>251653.76000000001</v>
      </c>
    </row>
    <row r="809" spans="1:10" x14ac:dyDescent="0.25">
      <c r="A809" s="10">
        <v>43407.5</v>
      </c>
      <c r="B809" s="11" t="s">
        <v>8</v>
      </c>
      <c r="C809" s="11" t="s">
        <v>7</v>
      </c>
      <c r="D809" s="16" t="str">
        <f>HYPERLINK("https://freddywills.com/pick/6966/college-football-total-of-the-week-guaranteed-or-back.html", "Maryland/Mich St Under 46 2.2% ")</f>
        <v xml:space="preserve">Maryland/Mich St Under 46 2.2% </v>
      </c>
      <c r="E809" s="11">
        <v>2.2000000000000002</v>
      </c>
      <c r="F809" s="11">
        <v>-1.1000000000000001</v>
      </c>
      <c r="G809" s="11" t="s">
        <v>4</v>
      </c>
      <c r="H809" s="13">
        <v>2000</v>
      </c>
      <c r="I809" s="14">
        <f t="shared" si="27"/>
        <v>-0.1722311</v>
      </c>
      <c r="J809" s="13">
        <f t="shared" si="28"/>
        <v>254953.76</v>
      </c>
    </row>
    <row r="810" spans="1:10" x14ac:dyDescent="0.25">
      <c r="A810" s="10">
        <v>43407.5</v>
      </c>
      <c r="B810" s="11" t="s">
        <v>8</v>
      </c>
      <c r="C810" s="11" t="s">
        <v>5</v>
      </c>
      <c r="D810" s="16" t="str">
        <f>HYPERLINK("https://freddywills.com/pick/6970/sec-east-semi-championship-game-kentucky-vs-georgia-pick-and-analysis.html", "Kentucky +8.5 2.2% play")</f>
        <v>Kentucky +8.5 2.2% play</v>
      </c>
      <c r="E810" s="11">
        <v>2.2000000000000002</v>
      </c>
      <c r="F810" s="11">
        <v>-1.1000000000000001</v>
      </c>
      <c r="G810" s="11" t="s">
        <v>6</v>
      </c>
      <c r="H810" s="13">
        <v>-2200</v>
      </c>
      <c r="I810" s="14">
        <f t="shared" si="27"/>
        <v>-0.19223109999999999</v>
      </c>
      <c r="J810" s="13">
        <f t="shared" si="28"/>
        <v>252953.76</v>
      </c>
    </row>
    <row r="811" spans="1:10" x14ac:dyDescent="0.25">
      <c r="A811" s="10">
        <v>43403.791666666664</v>
      </c>
      <c r="B811" s="11" t="s">
        <v>8</v>
      </c>
      <c r="C811" s="11" t="s">
        <v>5</v>
      </c>
      <c r="D811" s="16" t="str">
        <f>HYPERLINK("https://freddywills.com/pick/6960/maction-tuesday-miami-ohio-vs-buffalo.html", "Miami Ohio +7 3.3% play")</f>
        <v>Miami Ohio +7 3.3% play</v>
      </c>
      <c r="E811" s="11">
        <v>3.3</v>
      </c>
      <c r="F811" s="11">
        <v>-1.1000000000000001</v>
      </c>
      <c r="G811" s="11" t="s">
        <v>6</v>
      </c>
      <c r="H811" s="13">
        <v>-3300</v>
      </c>
      <c r="I811" s="14">
        <f t="shared" si="27"/>
        <v>-0.1702311</v>
      </c>
      <c r="J811" s="13">
        <f t="shared" si="28"/>
        <v>255153.76</v>
      </c>
    </row>
    <row r="812" spans="1:10" x14ac:dyDescent="0.25">
      <c r="A812" s="10">
        <v>43401.684027777781</v>
      </c>
      <c r="B812" s="11" t="s">
        <v>2</v>
      </c>
      <c r="C812" s="11" t="s">
        <v>5</v>
      </c>
      <c r="D812" s="16" t="str">
        <f>HYPERLINK("https://freddywills.com/pick/6955/5-5-max-rated-nfl-pod-39-21-last-60-max-rated-nfl-pod-s-guaranteed-or-back.html", "49ers -1.5 5.5% NFL POD")</f>
        <v>49ers -1.5 5.5% NFL POD</v>
      </c>
      <c r="E812" s="11">
        <v>5.5</v>
      </c>
      <c r="F812" s="11">
        <v>-1.1000000000000001</v>
      </c>
      <c r="G812" s="11" t="s">
        <v>6</v>
      </c>
      <c r="H812" s="13">
        <v>-5500</v>
      </c>
      <c r="I812" s="14">
        <f t="shared" si="27"/>
        <v>-0.13723109999999999</v>
      </c>
      <c r="J812" s="13">
        <f t="shared" si="28"/>
        <v>258453.76000000001</v>
      </c>
    </row>
    <row r="813" spans="1:10" x14ac:dyDescent="0.25">
      <c r="A813" s="10">
        <v>43401.684027777781</v>
      </c>
      <c r="B813" s="11" t="s">
        <v>2</v>
      </c>
      <c r="C813" s="11" t="s">
        <v>5</v>
      </c>
      <c r="D813" s="16" t="str">
        <f>HYPERLINK("https://freddywills.com/pick/6957/packers-vs-rams-guaranteed-or-back-42-24-ats-l66-nfl-picks.html", "Packers +8 3.3% NFL play ")</f>
        <v xml:space="preserve">Packers +8 3.3% NFL play </v>
      </c>
      <c r="E813" s="11">
        <v>3.3</v>
      </c>
      <c r="F813" s="11">
        <v>-1.1000000000000001</v>
      </c>
      <c r="G813" s="11" t="s">
        <v>4</v>
      </c>
      <c r="H813" s="13">
        <v>3000</v>
      </c>
      <c r="I813" s="14">
        <f t="shared" si="27"/>
        <v>-8.2231100000000001E-2</v>
      </c>
      <c r="J813" s="13">
        <f t="shared" si="28"/>
        <v>263953.76</v>
      </c>
    </row>
    <row r="814" spans="1:10" x14ac:dyDescent="0.25">
      <c r="A814" s="10">
        <v>43401.541666666664</v>
      </c>
      <c r="B814" s="11" t="s">
        <v>2</v>
      </c>
      <c r="C814" s="11" t="s">
        <v>5</v>
      </c>
      <c r="D814" s="16" t="str">
        <f>HYPERLINK("https://freddywills.com/pick/6954/42-24-ats-l66-nfl-picks-3-5-play-guaranteed-or-back.html", "Broncos +10 -1.20 3.5% Play ")</f>
        <v xml:space="preserve">Broncos +10 -1.20 3.5% Play </v>
      </c>
      <c r="E814" s="11">
        <v>3.5</v>
      </c>
      <c r="F814" s="11">
        <v>-1.2</v>
      </c>
      <c r="G814" s="11" t="s">
        <v>4</v>
      </c>
      <c r="H814" s="13">
        <v>2917</v>
      </c>
      <c r="I814" s="14">
        <f t="shared" si="27"/>
        <v>-0.1122311</v>
      </c>
      <c r="J814" s="13">
        <f t="shared" si="28"/>
        <v>260953.75999999998</v>
      </c>
    </row>
    <row r="815" spans="1:10" x14ac:dyDescent="0.25">
      <c r="A815" s="10">
        <v>43401.541666666664</v>
      </c>
      <c r="B815" s="11" t="s">
        <v>2</v>
      </c>
      <c r="C815" s="11" t="s">
        <v>5</v>
      </c>
      <c r="D815" s="16" t="str">
        <f>HYPERLINK("https://freddywills.com/pick/6956/nfl-money-line-dog-of-the-week-19-18-l37-nfl-ml-dogs-48-5-roi.html", "Seahawks +140 2% play ")</f>
        <v xml:space="preserve">Seahawks +140 2% play </v>
      </c>
      <c r="E815" s="11">
        <v>2</v>
      </c>
      <c r="F815" s="11">
        <v>1.4</v>
      </c>
      <c r="G815" s="11" t="s">
        <v>4</v>
      </c>
      <c r="H815" s="13">
        <v>2800</v>
      </c>
      <c r="I815" s="14">
        <f t="shared" si="27"/>
        <v>-0.1414011</v>
      </c>
      <c r="J815" s="13">
        <f t="shared" si="28"/>
        <v>258036.75999999998</v>
      </c>
    </row>
    <row r="816" spans="1:10" x14ac:dyDescent="0.25">
      <c r="A816" s="10">
        <v>43401.541666666664</v>
      </c>
      <c r="B816" s="11" t="s">
        <v>2</v>
      </c>
      <c r="C816" s="11" t="s">
        <v>7</v>
      </c>
      <c r="D816" s="16" t="str">
        <f>HYPERLINK("https://freddywills.com/pick/6958/nfl-total-of-the-week-jets-vs-bears-guaranteed-or-back.html", "Jets/Bears Over 42.5 2.2% play ")</f>
        <v xml:space="preserve">Jets/Bears Over 42.5 2.2% play </v>
      </c>
      <c r="E816" s="11">
        <v>2.2000000000000002</v>
      </c>
      <c r="F816" s="11">
        <v>-1.1000000000000001</v>
      </c>
      <c r="G816" s="11" t="s">
        <v>6</v>
      </c>
      <c r="H816" s="13">
        <v>-2200</v>
      </c>
      <c r="I816" s="14">
        <f t="shared" si="27"/>
        <v>-0.1694011</v>
      </c>
      <c r="J816" s="13">
        <f t="shared" si="28"/>
        <v>255236.75999999998</v>
      </c>
    </row>
    <row r="817" spans="1:10" x14ac:dyDescent="0.25">
      <c r="A817" s="10">
        <v>43401.541666666664</v>
      </c>
      <c r="B817" s="11" t="s">
        <v>2</v>
      </c>
      <c r="C817" s="11" t="s">
        <v>10</v>
      </c>
      <c r="D817" s="16" t="str">
        <f>HYPERLINK("https://freddywills.com/pick/6959/nfl-teaser-of-the-week-58-on-teasers-l100.html", "Steelers -2 / Vikings +7.5 3.3% play ")</f>
        <v xml:space="preserve">Steelers -2 / Vikings +7.5 3.3% play </v>
      </c>
      <c r="E817" s="11">
        <v>3.3</v>
      </c>
      <c r="F817" s="11">
        <v>-1.1000000000000001</v>
      </c>
      <c r="G817" s="11" t="s">
        <v>6</v>
      </c>
      <c r="H817" s="13">
        <v>-3300</v>
      </c>
      <c r="I817" s="14">
        <f t="shared" si="27"/>
        <v>-0.14740110000000001</v>
      </c>
      <c r="J817" s="13">
        <f t="shared" si="28"/>
        <v>257436.75999999998</v>
      </c>
    </row>
    <row r="818" spans="1:10" x14ac:dyDescent="0.25">
      <c r="A818" s="10">
        <v>43400.770833333336</v>
      </c>
      <c r="B818" s="11" t="s">
        <v>8</v>
      </c>
      <c r="C818" s="11" t="s">
        <v>18</v>
      </c>
      <c r="D818" s="16" t="str">
        <f>HYPERLINK("https://freddywills.com/pick/6953/37-13-run-on-college-football-free-picks-huge-ml-dog-winner.html", "California +375 1% Play")</f>
        <v>California +375 1% Play</v>
      </c>
      <c r="E818" s="11">
        <v>1</v>
      </c>
      <c r="F818" s="11">
        <v>3.75</v>
      </c>
      <c r="G818" s="11" t="s">
        <v>4</v>
      </c>
      <c r="H818" s="13">
        <v>3750</v>
      </c>
      <c r="I818" s="14">
        <f t="shared" si="27"/>
        <v>-0.11440110000000001</v>
      </c>
      <c r="J818" s="13">
        <f t="shared" si="28"/>
        <v>260736.75999999998</v>
      </c>
    </row>
    <row r="819" spans="1:10" x14ac:dyDescent="0.25">
      <c r="A819" s="10">
        <v>43400.666666666664</v>
      </c>
      <c r="B819" s="11" t="s">
        <v>8</v>
      </c>
      <c r="C819" s="11" t="s">
        <v>5</v>
      </c>
      <c r="D819" s="16" t="str">
        <f>HYPERLINK("https://freddywills.com/pick/6948/3-5-sec-showdown-guaranteed-or-back-kentucky-vs-missouri.html", "Kentucky +7.5 -120 3.5% play")</f>
        <v>Kentucky +7.5 -120 3.5% play</v>
      </c>
      <c r="E819" s="11">
        <v>3.5</v>
      </c>
      <c r="F819" s="11">
        <v>-1.2</v>
      </c>
      <c r="G819" s="11" t="s">
        <v>4</v>
      </c>
      <c r="H819" s="13">
        <v>2916.67</v>
      </c>
      <c r="I819" s="14">
        <f t="shared" si="27"/>
        <v>-0.15190110000000001</v>
      </c>
      <c r="J819" s="13">
        <f t="shared" si="28"/>
        <v>256986.75999999998</v>
      </c>
    </row>
    <row r="820" spans="1:10" x14ac:dyDescent="0.25">
      <c r="A820" s="10">
        <v>43400.645833333336</v>
      </c>
      <c r="B820" s="11" t="s">
        <v>8</v>
      </c>
      <c r="C820" s="11" t="s">
        <v>5</v>
      </c>
      <c r="D820" s="16" t="str">
        <f>HYPERLINK("https://freddywills.com/pick/6952/5-ncaaf-pod-94-66-ats-l160-max-rated-plays-florida-vs-georgia-game-of-the-week.html", "Florida +7 -1.15 5% NCAAF POD")</f>
        <v>Florida +7 -1.15 5% NCAAF POD</v>
      </c>
      <c r="E820" s="11">
        <v>5</v>
      </c>
      <c r="F820" s="11">
        <v>-1.1499999999999999</v>
      </c>
      <c r="G820" s="11" t="s">
        <v>6</v>
      </c>
      <c r="H820" s="13">
        <v>-5000</v>
      </c>
      <c r="I820" s="14">
        <f t="shared" si="27"/>
        <v>-0.1810678</v>
      </c>
      <c r="J820" s="13">
        <f t="shared" si="28"/>
        <v>254070.08999999997</v>
      </c>
    </row>
    <row r="821" spans="1:10" x14ac:dyDescent="0.25">
      <c r="A821" s="10">
        <v>43400.500694444447</v>
      </c>
      <c r="B821" s="11" t="s">
        <v>8</v>
      </c>
      <c r="C821" s="11" t="s">
        <v>18</v>
      </c>
      <c r="D821" s="16" t="str">
        <f>HYPERLINK("https://freddywills.com/pick/6947/money-line-dog-of-the-week-38-55-l93-ml-dogs-43-3-roi-guaranteed-or-back-150-or-higher.html", "Uconn +180 2% play ")</f>
        <v xml:space="preserve">Uconn +180 2% play </v>
      </c>
      <c r="E821" s="11">
        <v>2</v>
      </c>
      <c r="F821" s="11">
        <v>-1.1000000000000001</v>
      </c>
      <c r="G821" s="11" t="s">
        <v>6</v>
      </c>
      <c r="H821" s="13">
        <v>-2000</v>
      </c>
      <c r="I821" s="14">
        <f t="shared" si="27"/>
        <v>-0.13106780000000001</v>
      </c>
      <c r="J821" s="13">
        <f t="shared" si="28"/>
        <v>259070.08999999997</v>
      </c>
    </row>
    <row r="822" spans="1:10" x14ac:dyDescent="0.25">
      <c r="A822" s="10">
        <v>43400.5</v>
      </c>
      <c r="B822" s="11" t="s">
        <v>8</v>
      </c>
      <c r="C822" s="11" t="s">
        <v>5</v>
      </c>
      <c r="D822" s="16" t="str">
        <f>HYPERLINK("https://freddywills.com/pick/6949/early-bird-bigten-action-9-3-ats-since-2015-backing-this-team-2-0-this-year.html", "Northwestern +4.5 2.2% play ")</f>
        <v xml:space="preserve">Northwestern +4.5 2.2% play </v>
      </c>
      <c r="E822" s="11">
        <v>2.2000000000000002</v>
      </c>
      <c r="F822" s="11">
        <v>-1.1000000000000001</v>
      </c>
      <c r="G822" s="11" t="s">
        <v>4</v>
      </c>
      <c r="H822" s="13">
        <v>2000</v>
      </c>
      <c r="I822" s="14">
        <f t="shared" si="27"/>
        <v>-0.11106780000000001</v>
      </c>
      <c r="J822" s="13">
        <f t="shared" si="28"/>
        <v>261070.08999999997</v>
      </c>
    </row>
    <row r="823" spans="1:10" x14ac:dyDescent="0.25">
      <c r="A823" s="10">
        <v>43400.5</v>
      </c>
      <c r="B823" s="11" t="s">
        <v>8</v>
      </c>
      <c r="C823" s="11" t="s">
        <v>10</v>
      </c>
      <c r="D823" s="16" t="str">
        <f>HYPERLINK("https://freddywills.com/pick/6950/teaser-of-the-week-sec-action-bigten-action-31-20-l51-ncaaf-teasers.html", "Purdue +8 /TX A&amp;M +7.5 4.4% Teaser of the Week")</f>
        <v>Purdue +8 /TX A&amp;M +7.5 4.4% Teaser of the Week</v>
      </c>
      <c r="E823" s="11">
        <v>4.4000000000000004</v>
      </c>
      <c r="F823" s="11">
        <v>-1.1000000000000001</v>
      </c>
      <c r="G823" s="11" t="s">
        <v>6</v>
      </c>
      <c r="H823" s="13">
        <v>-4400</v>
      </c>
      <c r="I823" s="14">
        <f t="shared" si="27"/>
        <v>-0.13106780000000001</v>
      </c>
      <c r="J823" s="13">
        <f t="shared" si="28"/>
        <v>259070.08999999997</v>
      </c>
    </row>
    <row r="824" spans="1:10" x14ac:dyDescent="0.25">
      <c r="A824" s="10">
        <v>43400.5</v>
      </c>
      <c r="B824" s="11" t="s">
        <v>8</v>
      </c>
      <c r="C824" s="11" t="s">
        <v>5</v>
      </c>
      <c r="D824" s="16" t="str">
        <f>HYPERLINK("https://freddywills.com/pick/6951/army-vs-eastern-michigan-3-3-play-guaranteed-or-back.html", "Army pk 3.3% play ")</f>
        <v xml:space="preserve">Army pk 3.3% play </v>
      </c>
      <c r="E824" s="11">
        <v>3.3</v>
      </c>
      <c r="F824" s="11">
        <v>-1.1000000000000001</v>
      </c>
      <c r="G824" s="11" t="s">
        <v>4</v>
      </c>
      <c r="H824" s="13">
        <v>3000</v>
      </c>
      <c r="I824" s="14">
        <f t="shared" si="27"/>
        <v>-8.7067800000000001E-2</v>
      </c>
      <c r="J824" s="13">
        <f t="shared" si="28"/>
        <v>263470.08999999997</v>
      </c>
    </row>
    <row r="825" spans="1:10" x14ac:dyDescent="0.25">
      <c r="A825" s="10">
        <v>43398.791666666664</v>
      </c>
      <c r="B825" s="11" t="s">
        <v>8</v>
      </c>
      <c r="C825" s="11" t="s">
        <v>5</v>
      </c>
      <c r="D825" s="16" t="str">
        <f>HYPERLINK("https://freddywills.com/pick/6946/western-michigan-vs-toledo-maction-guaranteed-or-back.html", "W. Michigan -5 2.2% play ")</f>
        <v xml:space="preserve">W. Michigan -5 2.2% play </v>
      </c>
      <c r="E825" s="11">
        <v>2.2000000000000002</v>
      </c>
      <c r="F825" s="11">
        <v>-1.1000000000000001</v>
      </c>
      <c r="G825" s="11" t="s">
        <v>6</v>
      </c>
      <c r="H825" s="13">
        <v>-2200</v>
      </c>
      <c r="I825" s="14">
        <f t="shared" si="27"/>
        <v>-0.1170678</v>
      </c>
      <c r="J825" s="13">
        <f t="shared" si="28"/>
        <v>260470.08999999997</v>
      </c>
    </row>
    <row r="826" spans="1:10" x14ac:dyDescent="0.25">
      <c r="A826" s="10">
        <v>43396.833333333336</v>
      </c>
      <c r="B826" s="11" t="s">
        <v>8</v>
      </c>
      <c r="C826" s="11" t="s">
        <v>5</v>
      </c>
      <c r="D826" s="16" t="str">
        <f>HYPERLINK("https://freddywills.com/pick/6945/tuesday-night-4-4-ncaaf-pod-guaranteed-or-back.html", "South Alabama +13 4.4% POD")</f>
        <v>South Alabama +13 4.4% POD</v>
      </c>
      <c r="E826" s="11">
        <v>4.4000000000000004</v>
      </c>
      <c r="F826" s="11">
        <v>-1.1000000000000001</v>
      </c>
      <c r="G826" s="11" t="s">
        <v>6</v>
      </c>
      <c r="H826" s="13">
        <v>-4400</v>
      </c>
      <c r="I826" s="14">
        <f t="shared" si="27"/>
        <v>-9.5067799999999994E-2</v>
      </c>
      <c r="J826" s="13">
        <f t="shared" si="28"/>
        <v>262670.08999999997</v>
      </c>
    </row>
    <row r="827" spans="1:10" x14ac:dyDescent="0.25">
      <c r="A827" s="10">
        <v>43394.670138888891</v>
      </c>
      <c r="B827" s="11" t="s">
        <v>2</v>
      </c>
      <c r="C827" s="11" t="s">
        <v>5</v>
      </c>
      <c r="D827" s="16" t="str">
        <f>HYPERLINK("https://freddywills.com/pick/6940/5-5-max-rated-nfl-pod-39-20-101-764-l-59-max-rated-nfl-picks.html", "Ravens -2.5 -115 5.5% NFL POD")</f>
        <v>Ravens -2.5 -115 5.5% NFL POD</v>
      </c>
      <c r="E827" s="11">
        <v>5.5</v>
      </c>
      <c r="F827" s="11">
        <v>-1.1499999999999999</v>
      </c>
      <c r="G827" s="11" t="s">
        <v>6</v>
      </c>
      <c r="H827" s="13">
        <v>-5500</v>
      </c>
      <c r="I827" s="14">
        <f t="shared" si="27"/>
        <v>-5.1067799999999997E-2</v>
      </c>
      <c r="J827" s="13">
        <f t="shared" si="28"/>
        <v>267070.08999999997</v>
      </c>
    </row>
    <row r="828" spans="1:10" x14ac:dyDescent="0.25">
      <c r="A828" s="10">
        <v>43394.541666666664</v>
      </c>
      <c r="B828" s="11" t="s">
        <v>2</v>
      </c>
      <c r="C828" s="11" t="s">
        <v>5</v>
      </c>
      <c r="D828" s="16" t="str">
        <f>HYPERLINK("https://freddywills.com/pick/6942/4-4-nfl-play-guaranteed-or-back-40-21-76-648-l-61-nfl-picks.html", "Jaguars -4 4.4% play ")</f>
        <v xml:space="preserve">Jaguars -4 4.4% play </v>
      </c>
      <c r="E828" s="11">
        <v>4.4000000000000004</v>
      </c>
      <c r="F828" s="11">
        <v>-1.1000000000000001</v>
      </c>
      <c r="G828" s="11" t="s">
        <v>6</v>
      </c>
      <c r="H828" s="13">
        <v>-4400</v>
      </c>
      <c r="I828" s="14">
        <f t="shared" si="27"/>
        <v>3.9322000000000037E-3</v>
      </c>
      <c r="J828" s="13">
        <f t="shared" si="28"/>
        <v>272570.08999999997</v>
      </c>
    </row>
    <row r="829" spans="1:10" x14ac:dyDescent="0.25">
      <c r="A829" s="10">
        <v>43394.541666666664</v>
      </c>
      <c r="B829" s="11" t="s">
        <v>2</v>
      </c>
      <c r="C829" s="11" t="s">
        <v>5</v>
      </c>
      <c r="D829" s="16" t="str">
        <f>HYPERLINK("https://freddywills.com/pick/6944/2-2-nfl-play-panthers-vs-eagles-guaranteed-or-back.html", "Eagles -5 2.2% play ")</f>
        <v xml:space="preserve">Eagles -5 2.2% play </v>
      </c>
      <c r="E829" s="11">
        <v>2.2000000000000002</v>
      </c>
      <c r="F829" s="11">
        <v>-1.1000000000000001</v>
      </c>
      <c r="G829" s="11" t="s">
        <v>6</v>
      </c>
      <c r="H829" s="13">
        <v>-2200</v>
      </c>
      <c r="I829" s="14">
        <f t="shared" si="27"/>
        <v>4.7932200000000001E-2</v>
      </c>
      <c r="J829" s="13">
        <f t="shared" si="28"/>
        <v>276970.08999999997</v>
      </c>
    </row>
    <row r="830" spans="1:10" x14ac:dyDescent="0.25">
      <c r="A830" s="10">
        <v>43394.395833333336</v>
      </c>
      <c r="B830" s="11" t="s">
        <v>2</v>
      </c>
      <c r="C830" s="11" t="s">
        <v>5</v>
      </c>
      <c r="D830" s="16" t="str">
        <f>HYPERLINK("https://freddywills.com/pick/6941/early-bird-special-london-game-titans-vs-chargers.html", "Titans +7 -125 3% play - buy up to 7")</f>
        <v>Titans +7 -125 3% play - buy up to 7</v>
      </c>
      <c r="E830" s="11">
        <v>3</v>
      </c>
      <c r="F830" s="11">
        <v>-1.25</v>
      </c>
      <c r="G830" s="11" t="s">
        <v>4</v>
      </c>
      <c r="H830" s="13">
        <v>2400</v>
      </c>
      <c r="I830" s="14">
        <f t="shared" si="27"/>
        <v>6.99322E-2</v>
      </c>
      <c r="J830" s="13">
        <f t="shared" si="28"/>
        <v>279170.08999999997</v>
      </c>
    </row>
    <row r="831" spans="1:10" x14ac:dyDescent="0.25">
      <c r="A831" s="10">
        <v>43394.28402777778</v>
      </c>
      <c r="B831" s="11" t="s">
        <v>2</v>
      </c>
      <c r="C831" s="11" t="s">
        <v>10</v>
      </c>
      <c r="D831" s="16" t="str">
        <f>HYPERLINK("https://freddywills.com/pick/6943/nfl-teaser-of-the-week-guaranteed-or-back-84-58-last-142-teasers.html", "Bears +8 / Redskins +7.5 3.3% Teaser")</f>
        <v>Bears +8 / Redskins +7.5 3.3% Teaser</v>
      </c>
      <c r="E831" s="11">
        <v>3.3</v>
      </c>
      <c r="F831" s="11">
        <v>-1.1000000000000001</v>
      </c>
      <c r="G831" s="11" t="s">
        <v>4</v>
      </c>
      <c r="H831" s="13">
        <v>3000</v>
      </c>
      <c r="I831" s="14">
        <f t="shared" si="27"/>
        <v>4.5932200000000006E-2</v>
      </c>
      <c r="J831" s="13">
        <f t="shared" si="28"/>
        <v>276770.08999999997</v>
      </c>
    </row>
    <row r="832" spans="1:10" x14ac:dyDescent="0.25">
      <c r="A832" s="10">
        <v>43393.999305555553</v>
      </c>
      <c r="B832" s="11" t="s">
        <v>8</v>
      </c>
      <c r="C832" s="11" t="s">
        <v>5</v>
      </c>
      <c r="D832" s="16" t="str">
        <f>HYPERLINK("https://freddywills.com/pick/6938/mountain-west-game-of-the-week-hawaii-vs-nevada-guaranteed-or-back.html", "Nevada +3 3.3% Play")</f>
        <v>Nevada +3 3.3% Play</v>
      </c>
      <c r="E832" s="11">
        <v>3.3</v>
      </c>
      <c r="F832" s="11">
        <v>-1.1000000000000001</v>
      </c>
      <c r="G832" s="11" t="s">
        <v>4</v>
      </c>
      <c r="H832" s="13">
        <v>3000</v>
      </c>
      <c r="I832" s="14">
        <f t="shared" si="27"/>
        <v>1.5932200000000007E-2</v>
      </c>
      <c r="J832" s="13">
        <f t="shared" si="28"/>
        <v>273770.08999999997</v>
      </c>
    </row>
    <row r="833" spans="1:10" x14ac:dyDescent="0.25">
      <c r="A833" s="10">
        <v>43393.8125</v>
      </c>
      <c r="B833" s="11" t="s">
        <v>8</v>
      </c>
      <c r="C833" s="11" t="s">
        <v>5</v>
      </c>
      <c r="D833" s="16" t="str">
        <f>HYPERLINK("https://freddywills.com/pick/6932/5-5-max-rated-ncaaf-pod-94-65-ats-59-l159-max-rated-ncaaf-pod-s-guaranteed-or-back.html", "Kentucky -11 5.5% POD")</f>
        <v>Kentucky -11 5.5% POD</v>
      </c>
      <c r="E833" s="11">
        <v>5.5</v>
      </c>
      <c r="F833" s="11">
        <v>-1.1000000000000001</v>
      </c>
      <c r="G833" s="11" t="s">
        <v>6</v>
      </c>
      <c r="H833" s="13">
        <v>-5500</v>
      </c>
      <c r="I833" s="14">
        <f t="shared" si="27"/>
        <v>-1.4067799999999991E-2</v>
      </c>
      <c r="J833" s="13">
        <f t="shared" si="28"/>
        <v>270770.08999999997</v>
      </c>
    </row>
    <row r="834" spans="1:10" x14ac:dyDescent="0.25">
      <c r="A834" s="10">
        <v>43393.791666666664</v>
      </c>
      <c r="B834" s="11" t="s">
        <v>8</v>
      </c>
      <c r="C834" s="11" t="s">
        <v>5</v>
      </c>
      <c r="D834" s="16" t="str">
        <f>HYPERLINK("https://freddywills.com/pick/6934/lsu-vs-missst-guaranteed-or-back.html", "Miss St +6.5 2.2% play ")</f>
        <v xml:space="preserve">Miss St +6.5 2.2% play </v>
      </c>
      <c r="E834" s="11">
        <v>2.2000000000000002</v>
      </c>
      <c r="F834" s="11">
        <v>-1.1000000000000001</v>
      </c>
      <c r="G834" s="11" t="s">
        <v>6</v>
      </c>
      <c r="H834" s="13">
        <v>-2200</v>
      </c>
      <c r="I834" s="14">
        <f t="shared" si="27"/>
        <v>4.0932200000000009E-2</v>
      </c>
      <c r="J834" s="13">
        <f t="shared" si="28"/>
        <v>276270.08999999997</v>
      </c>
    </row>
    <row r="835" spans="1:10" x14ac:dyDescent="0.25">
      <c r="A835" s="10">
        <v>43393.791666666664</v>
      </c>
      <c r="B835" s="11" t="s">
        <v>8</v>
      </c>
      <c r="C835" s="11" t="s">
        <v>5</v>
      </c>
      <c r="D835" s="16" t="str">
        <f>HYPERLINK("https://freddywills.com/pick/6936/36-13-ats-l49-free-college-football-picks-uconn-vs-usf.html", "Uconn +34 1.1% Free Play ")</f>
        <v xml:space="preserve">Uconn +34 1.1% Free Play </v>
      </c>
      <c r="E835" s="11">
        <v>1.1000000000000001</v>
      </c>
      <c r="F835" s="11">
        <v>-1.1000000000000001</v>
      </c>
      <c r="G835" s="11" t="s">
        <v>4</v>
      </c>
      <c r="H835" s="13">
        <v>1000</v>
      </c>
      <c r="I835" s="14">
        <f t="shared" si="27"/>
        <v>6.2932200000000008E-2</v>
      </c>
      <c r="J835" s="13">
        <f t="shared" si="28"/>
        <v>278470.08999999997</v>
      </c>
    </row>
    <row r="836" spans="1:10" x14ac:dyDescent="0.25">
      <c r="A836" s="10">
        <v>43393.645833333336</v>
      </c>
      <c r="B836" s="11" t="s">
        <v>8</v>
      </c>
      <c r="C836" s="11" t="s">
        <v>5</v>
      </c>
      <c r="D836" s="16" t="str">
        <f>HYPERLINK("https://freddywills.com/pick/6931/4-4-acc-match-up-floridastate-vs-wakeforest-178-133-ats-57-2-l311-4-ncaaf-plays.html", "Wake Forest +10.5 4.4% play ")</f>
        <v xml:space="preserve">Wake Forest +10.5 4.4% play </v>
      </c>
      <c r="E836" s="11">
        <v>3.3</v>
      </c>
      <c r="F836" s="11">
        <v>-1.1000000000000001</v>
      </c>
      <c r="G836" s="11" t="s">
        <v>6</v>
      </c>
      <c r="H836" s="13">
        <v>-3300</v>
      </c>
      <c r="I836" s="14">
        <f t="shared" si="27"/>
        <v>5.2932200000000013E-2</v>
      </c>
      <c r="J836" s="13">
        <f t="shared" si="28"/>
        <v>277470.08999999997</v>
      </c>
    </row>
    <row r="837" spans="1:10" x14ac:dyDescent="0.25">
      <c r="A837" s="10">
        <v>43393.5</v>
      </c>
      <c r="B837" s="11" t="s">
        <v>8</v>
      </c>
      <c r="C837" s="11" t="s">
        <v>5</v>
      </c>
      <c r="D837" s="16" t="str">
        <f>HYPERLINK("https://freddywills.com/pick/6933/maction-game-of-the-week-buffalo-vs-toledo-guaranteed-or-back.html", "Buffalo -1 3.3% play ")</f>
        <v xml:space="preserve">Buffalo -1 3.3% play </v>
      </c>
      <c r="E837" s="11">
        <v>3.3</v>
      </c>
      <c r="F837" s="11">
        <v>-1.1000000000000001</v>
      </c>
      <c r="G837" s="11" t="s">
        <v>4</v>
      </c>
      <c r="H837" s="13">
        <v>3000</v>
      </c>
      <c r="I837" s="14">
        <f t="shared" si="27"/>
        <v>8.5932200000000014E-2</v>
      </c>
      <c r="J837" s="13">
        <f t="shared" si="28"/>
        <v>280770.08999999997</v>
      </c>
    </row>
    <row r="838" spans="1:10" x14ac:dyDescent="0.25">
      <c r="A838" s="10">
        <v>43393.5</v>
      </c>
      <c r="B838" s="11" t="s">
        <v>8</v>
      </c>
      <c r="C838" s="11" t="s">
        <v>5</v>
      </c>
      <c r="D838" s="16" t="str">
        <f>HYPERLINK("https://freddywills.com/pick/6935/auburn-vs-olemiss-sec-action-guaranteed-or-back.html", "Auburn -3.5 2.2% play ")</f>
        <v xml:space="preserve">Auburn -3.5 2.2% play </v>
      </c>
      <c r="E838" s="11">
        <v>2.2000000000000002</v>
      </c>
      <c r="F838" s="11">
        <v>-1.1000000000000001</v>
      </c>
      <c r="G838" s="11" t="s">
        <v>4</v>
      </c>
      <c r="H838" s="13">
        <v>2000</v>
      </c>
      <c r="I838" s="14">
        <f t="shared" si="27"/>
        <v>5.5932200000000015E-2</v>
      </c>
      <c r="J838" s="13">
        <f t="shared" si="28"/>
        <v>277770.08999999997</v>
      </c>
    </row>
    <row r="839" spans="1:10" x14ac:dyDescent="0.25">
      <c r="A839" s="10">
        <v>43393.5</v>
      </c>
      <c r="B839" s="11" t="s">
        <v>8</v>
      </c>
      <c r="C839" s="11" t="s">
        <v>5</v>
      </c>
      <c r="D839" s="16" t="str">
        <f>HYPERLINK("https://freddywills.com/pick/6937/the-rivalry-michiganst-vs-michigan-3-3-play-guaranteed-or-back.html", "Michigan St +7 3.3% play ")</f>
        <v xml:space="preserve">Michigan St +7 3.3% play </v>
      </c>
      <c r="E839" s="11">
        <v>3.3</v>
      </c>
      <c r="F839" s="11">
        <v>-1.1000000000000001</v>
      </c>
      <c r="G839" s="11" t="s">
        <v>6</v>
      </c>
      <c r="H839" s="13">
        <v>-3300</v>
      </c>
      <c r="I839" s="14">
        <f t="shared" si="27"/>
        <v>3.5932200000000011E-2</v>
      </c>
      <c r="J839" s="13">
        <f t="shared" si="28"/>
        <v>275770.08999999997</v>
      </c>
    </row>
    <row r="840" spans="1:10" x14ac:dyDescent="0.25">
      <c r="A840" s="10">
        <v>43393.5</v>
      </c>
      <c r="B840" s="11" t="s">
        <v>8</v>
      </c>
      <c r="C840" s="11" t="s">
        <v>5</v>
      </c>
      <c r="D840" s="16" t="str">
        <f>HYPERLINK("https://freddywills.com/pick/6939/money-line-dog-value-play-200-and-higher-goes-early.html", "Maryland +275 1.5% ML Dog Play ")</f>
        <v xml:space="preserve">Maryland +275 1.5% ML Dog Play </v>
      </c>
      <c r="E840" s="11">
        <v>1.5</v>
      </c>
      <c r="F840" s="11">
        <v>2.75</v>
      </c>
      <c r="G840" s="11" t="s">
        <v>6</v>
      </c>
      <c r="H840" s="13">
        <v>-1500</v>
      </c>
      <c r="I840" s="14">
        <f t="shared" si="27"/>
        <v>6.8932200000000013E-2</v>
      </c>
      <c r="J840" s="13">
        <f t="shared" si="28"/>
        <v>279070.08999999997</v>
      </c>
    </row>
    <row r="841" spans="1:10" x14ac:dyDescent="0.25">
      <c r="A841" s="10">
        <v>43391.875</v>
      </c>
      <c r="B841" s="11" t="s">
        <v>8</v>
      </c>
      <c r="C841" s="11" t="s">
        <v>5</v>
      </c>
      <c r="D841" s="16" t="str">
        <f>HYPERLINK("https://freddywills.com/pick/6930/thursday-night-action-asu-vs-stanford-guaranteed-or-back.html", "Arizona State +2.5 2.2% Play")</f>
        <v>Arizona State +2.5 2.2% Play</v>
      </c>
      <c r="E841" s="11">
        <v>2.2000000000000002</v>
      </c>
      <c r="F841" s="11">
        <v>-1.1000000000000001</v>
      </c>
      <c r="G841" s="11" t="s">
        <v>6</v>
      </c>
      <c r="H841" s="13">
        <v>-2200</v>
      </c>
      <c r="I841" s="14">
        <f t="shared" ref="I841:I904" si="29">(H841/100000)+I842</f>
        <v>8.3932200000000012E-2</v>
      </c>
      <c r="J841" s="13">
        <f t="shared" ref="J841:J904" si="30">H841+J842</f>
        <v>280570.08999999997</v>
      </c>
    </row>
    <row r="842" spans="1:10" x14ac:dyDescent="0.25">
      <c r="A842" s="10">
        <v>43387.684027777781</v>
      </c>
      <c r="B842" s="11" t="s">
        <v>2</v>
      </c>
      <c r="C842" s="11" t="s">
        <v>5</v>
      </c>
      <c r="D842" s="16" t="str">
        <f>HYPERLINK("https://freddywills.com/pick/6929/3-3-nfl-afternoon-action-rams-vs-broncos.html", "Broncos +6.5 3.3% play ")</f>
        <v xml:space="preserve">Broncos +6.5 3.3% play </v>
      </c>
      <c r="E842" s="11">
        <v>3.3</v>
      </c>
      <c r="F842" s="11">
        <v>-1.1000000000000001</v>
      </c>
      <c r="G842" s="11" t="s">
        <v>4</v>
      </c>
      <c r="H842" s="13">
        <v>3000</v>
      </c>
      <c r="I842" s="14">
        <f t="shared" si="29"/>
        <v>0.10593220000000002</v>
      </c>
      <c r="J842" s="13">
        <f t="shared" si="30"/>
        <v>282770.08999999997</v>
      </c>
    </row>
    <row r="843" spans="1:10" x14ac:dyDescent="0.25">
      <c r="A843" s="10">
        <v>43387.541666666664</v>
      </c>
      <c r="B843" s="11" t="s">
        <v>2</v>
      </c>
      <c r="C843" s="11" t="s">
        <v>5</v>
      </c>
      <c r="D843" s="16" t="str">
        <f>HYPERLINK("https://freddywills.com/pick/6925/4-4-nfl-teaser-of-the-week-guaranteed-or-back-84-58-l142-football-teasers.html", "Colts +8.5 / Titans +8.5 4.4% Teaser")</f>
        <v>Colts +8.5 / Titans +8.5 4.4% Teaser</v>
      </c>
      <c r="E843" s="11">
        <v>4.4000000000000004</v>
      </c>
      <c r="F843" s="11">
        <v>-1.1000000000000001</v>
      </c>
      <c r="G843" s="11" t="s">
        <v>6</v>
      </c>
      <c r="H843" s="13">
        <v>-4400</v>
      </c>
      <c r="I843" s="14">
        <f t="shared" si="29"/>
        <v>7.5932200000000019E-2</v>
      </c>
      <c r="J843" s="13">
        <f t="shared" si="30"/>
        <v>279770.08999999997</v>
      </c>
    </row>
    <row r="844" spans="1:10" x14ac:dyDescent="0.25">
      <c r="A844" s="10">
        <v>43387.541666666664</v>
      </c>
      <c r="B844" s="11" t="s">
        <v>2</v>
      </c>
      <c r="C844" s="11" t="s">
        <v>5</v>
      </c>
      <c r="D844" s="16" t="str">
        <f>HYPERLINK("https://freddywills.com/pick/6926/5-5-nfl-pod-32-18-l50-max-rated-nfl-pod-s-60.html", "Steelers +105 5.5% POD")</f>
        <v>Steelers +105 5.5% POD</v>
      </c>
      <c r="E844" s="11">
        <v>5.5</v>
      </c>
      <c r="F844" s="11">
        <v>1.05</v>
      </c>
      <c r="G844" s="11" t="s">
        <v>4</v>
      </c>
      <c r="H844" s="13">
        <v>5775</v>
      </c>
      <c r="I844" s="14">
        <f t="shared" si="29"/>
        <v>0.11993220000000002</v>
      </c>
      <c r="J844" s="13">
        <f t="shared" si="30"/>
        <v>284170.08999999997</v>
      </c>
    </row>
    <row r="845" spans="1:10" x14ac:dyDescent="0.25">
      <c r="A845" s="10">
        <v>43387.541666666664</v>
      </c>
      <c r="B845" s="11" t="s">
        <v>2</v>
      </c>
      <c r="C845" s="11" t="s">
        <v>5</v>
      </c>
      <c r="D845" s="16" t="str">
        <f>HYPERLINK("https://freddywills.com/pick/6928/2-2-nfl-early-action-17-7-ats-l24-nfl-picks.html", "Redskins +1 2.2% play ")</f>
        <v xml:space="preserve">Redskins +1 2.2% play </v>
      </c>
      <c r="E845" s="11">
        <v>2.2000000000000002</v>
      </c>
      <c r="F845" s="11">
        <v>-1.1000000000000001</v>
      </c>
      <c r="G845" s="11" t="s">
        <v>4</v>
      </c>
      <c r="H845" s="13">
        <v>2000</v>
      </c>
      <c r="I845" s="14">
        <f t="shared" si="29"/>
        <v>6.2182200000000021E-2</v>
      </c>
      <c r="J845" s="13">
        <f t="shared" si="30"/>
        <v>278395.08999999997</v>
      </c>
    </row>
    <row r="846" spans="1:10" x14ac:dyDescent="0.25">
      <c r="A846" s="10">
        <v>43387.450694444444</v>
      </c>
      <c r="B846" s="11" t="s">
        <v>2</v>
      </c>
      <c r="C846" s="11" t="s">
        <v>5</v>
      </c>
      <c r="D846" s="16" t="str">
        <f>HYPERLINK("https://freddywills.com/pick/6927/37-19-ats-run-in-the-nfl-3-3-play-chiefs-vs-patriots.html", "Patriots -3.5 -105 3.3% play ")</f>
        <v xml:space="preserve">Patriots -3.5 -105 3.3% play </v>
      </c>
      <c r="E846" s="11">
        <v>3.3</v>
      </c>
      <c r="F846" s="11">
        <v>-1.05</v>
      </c>
      <c r="G846" s="11" t="s">
        <v>6</v>
      </c>
      <c r="H846" s="13">
        <v>-3300</v>
      </c>
      <c r="I846" s="14">
        <f t="shared" si="29"/>
        <v>4.2182200000000017E-2</v>
      </c>
      <c r="J846" s="13">
        <f t="shared" si="30"/>
        <v>276395.08999999997</v>
      </c>
    </row>
    <row r="847" spans="1:10" x14ac:dyDescent="0.25">
      <c r="A847" s="10">
        <v>43386.791666666664</v>
      </c>
      <c r="B847" s="11" t="s">
        <v>8</v>
      </c>
      <c r="C847" s="11" t="s">
        <v>5</v>
      </c>
      <c r="D847" s="16" t="str">
        <f>HYPERLINK("https://freddywills.com/pick/6917/saturday-s-free-pick-36-12-ats-l48-ncaaf-picks.html", "California -7 1.1% Free Play ")</f>
        <v xml:space="preserve">California -7 1.1% Free Play </v>
      </c>
      <c r="E847" s="11">
        <v>1.1000000000000001</v>
      </c>
      <c r="F847" s="11">
        <v>-1.1000000000000001</v>
      </c>
      <c r="G847" s="11" t="s">
        <v>6</v>
      </c>
      <c r="H847" s="13">
        <v>-1100</v>
      </c>
      <c r="I847" s="14">
        <f t="shared" si="29"/>
        <v>7.5182200000000018E-2</v>
      </c>
      <c r="J847" s="13">
        <f t="shared" si="30"/>
        <v>279695.08999999997</v>
      </c>
    </row>
    <row r="848" spans="1:10" x14ac:dyDescent="0.25">
      <c r="A848" s="10">
        <v>43386.791666666664</v>
      </c>
      <c r="B848" s="11" t="s">
        <v>8</v>
      </c>
      <c r="C848" s="11" t="s">
        <v>5</v>
      </c>
      <c r="D848" s="16" t="str">
        <f>HYPERLINK("https://freddywills.com/pick/6919/5-5-ncaaf-pod-96-65-ats-60-7-l158-max-rated-ncaaf-pod-s-guaranteed-or-back.html", "Iowa State +6.5 5.5% NCAAF POD")</f>
        <v>Iowa State +6.5 5.5% NCAAF POD</v>
      </c>
      <c r="E848" s="11">
        <v>5.5</v>
      </c>
      <c r="F848" s="11">
        <v>-1.1000000000000001</v>
      </c>
      <c r="G848" s="11" t="s">
        <v>4</v>
      </c>
      <c r="H848" s="13">
        <v>5000</v>
      </c>
      <c r="I848" s="14">
        <f t="shared" si="29"/>
        <v>8.6182200000000014E-2</v>
      </c>
      <c r="J848" s="13">
        <f t="shared" si="30"/>
        <v>280795.08999999997</v>
      </c>
    </row>
    <row r="849" spans="1:10" x14ac:dyDescent="0.25">
      <c r="A849" s="10">
        <v>43386.791666666664</v>
      </c>
      <c r="B849" s="11" t="s">
        <v>8</v>
      </c>
      <c r="C849" s="11" t="s">
        <v>5</v>
      </c>
      <c r="D849" s="16" t="str">
        <f>HYPERLINK("https://freddywills.com/pick/6923/3-3-cusa-premium-play-latech-vs-utsa-guaranteed-or-back.html", "La Tech -10.5 3.3% Play ")</f>
        <v xml:space="preserve">La Tech -10.5 3.3% Play </v>
      </c>
      <c r="E849" s="11">
        <v>3.3</v>
      </c>
      <c r="F849" s="11">
        <v>-1.1000000000000001</v>
      </c>
      <c r="G849" s="11" t="s">
        <v>4</v>
      </c>
      <c r="H849" s="13">
        <v>3000</v>
      </c>
      <c r="I849" s="14">
        <f t="shared" si="29"/>
        <v>3.6182200000000005E-2</v>
      </c>
      <c r="J849" s="13">
        <f t="shared" si="30"/>
        <v>275795.08999999997</v>
      </c>
    </row>
    <row r="850" spans="1:10" x14ac:dyDescent="0.25">
      <c r="A850" s="10">
        <v>43386.791666666664</v>
      </c>
      <c r="B850" s="11" t="s">
        <v>8</v>
      </c>
      <c r="C850" s="11" t="s">
        <v>5</v>
      </c>
      <c r="D850" s="16" t="str">
        <f>HYPERLINK("https://freddywills.com/pick/6924/4-4-acc-premium-play-177-132-ats-57-2-l309-4-rated-college-football-picks.html", "Virginia +7 4.4% Play ")</f>
        <v xml:space="preserve">Virginia +7 4.4% Play </v>
      </c>
      <c r="E850" s="11">
        <v>4.4000000000000004</v>
      </c>
      <c r="F850" s="11">
        <v>-1.1000000000000001</v>
      </c>
      <c r="G850" s="11" t="s">
        <v>4</v>
      </c>
      <c r="H850" s="13">
        <v>4000</v>
      </c>
      <c r="I850" s="14">
        <f t="shared" si="29"/>
        <v>6.1822000000000057E-3</v>
      </c>
      <c r="J850" s="13">
        <f t="shared" si="30"/>
        <v>272795.08999999997</v>
      </c>
    </row>
    <row r="851" spans="1:10" x14ac:dyDescent="0.25">
      <c r="A851" s="10">
        <v>43386.645833333336</v>
      </c>
      <c r="B851" s="11" t="s">
        <v>8</v>
      </c>
      <c r="C851" s="11" t="s">
        <v>5</v>
      </c>
      <c r="D851" s="16" t="str">
        <f>HYPERLINK("https://freddywills.com/pick/6920/purdue-vs-illinois-premium-pick-guaranteed-or-back.html", "Purdue -10.5 2.2% Play ")</f>
        <v xml:space="preserve">Purdue -10.5 2.2% Play </v>
      </c>
      <c r="E851" s="11">
        <v>2.2000000000000002</v>
      </c>
      <c r="F851" s="11">
        <v>-1.1000000000000001</v>
      </c>
      <c r="G851" s="11" t="s">
        <v>4</v>
      </c>
      <c r="H851" s="13">
        <v>2000</v>
      </c>
      <c r="I851" s="14">
        <f t="shared" si="29"/>
        <v>-3.3817799999999995E-2</v>
      </c>
      <c r="J851" s="13">
        <f t="shared" si="30"/>
        <v>268795.08999999997</v>
      </c>
    </row>
    <row r="852" spans="1:10" x14ac:dyDescent="0.25">
      <c r="A852" s="10">
        <v>43386.513888888891</v>
      </c>
      <c r="B852" s="11" t="s">
        <v>8</v>
      </c>
      <c r="C852" s="11" t="s">
        <v>10</v>
      </c>
      <c r="D852" s="16" t="str">
        <f>HYPERLINK("https://freddywills.com/pick/6922/teaser-of-the-week-42-25-56-018-l67-college-football-teasers-sec-acc-action.html", "Duke +8.5 / Georgia -1.5 4.4% Teaser of the Week")</f>
        <v>Duke +8.5 / Georgia -1.5 4.4% Teaser of the Week</v>
      </c>
      <c r="E852" s="11">
        <v>4.4000000000000004</v>
      </c>
      <c r="F852" s="11">
        <v>-1.1000000000000001</v>
      </c>
      <c r="G852" s="11" t="s">
        <v>6</v>
      </c>
      <c r="H852" s="13">
        <v>-4400</v>
      </c>
      <c r="I852" s="14">
        <f t="shared" si="29"/>
        <v>-5.3817799999999992E-2</v>
      </c>
      <c r="J852" s="13">
        <f t="shared" si="30"/>
        <v>266795.08999999997</v>
      </c>
    </row>
    <row r="853" spans="1:10" x14ac:dyDescent="0.25">
      <c r="A853" s="10">
        <v>43386.5</v>
      </c>
      <c r="B853" s="11" t="s">
        <v>8</v>
      </c>
      <c r="C853" s="11" t="s">
        <v>5</v>
      </c>
      <c r="D853" s="16" t="str">
        <f>HYPERLINK("https://freddywills.com/pick/6921/sec-florida-vs-vanderbilt-guaranteed-or-back.html", "Florida -7 2.2% play ")</f>
        <v xml:space="preserve">Florida -7 2.2% play </v>
      </c>
      <c r="E853" s="11">
        <v>2.2000000000000002</v>
      </c>
      <c r="F853" s="11">
        <v>-1.1000000000000001</v>
      </c>
      <c r="G853" s="11" t="s">
        <v>4</v>
      </c>
      <c r="H853" s="13">
        <v>2000</v>
      </c>
      <c r="I853" s="14">
        <f t="shared" si="29"/>
        <v>-9.8177999999999946E-3</v>
      </c>
      <c r="J853" s="13">
        <f t="shared" si="30"/>
        <v>271195.08999999997</v>
      </c>
    </row>
    <row r="854" spans="1:10" x14ac:dyDescent="0.25">
      <c r="A854" s="10">
        <v>43385.916666666664</v>
      </c>
      <c r="B854" s="11" t="s">
        <v>8</v>
      </c>
      <c r="C854" s="11" t="s">
        <v>5</v>
      </c>
      <c r="D854" s="16" t="str">
        <f>HYPERLINK("https://freddywills.com/pick/6918/3-3-play-friday-night-lights-utah-vs-arizona-guaranteed-or-saturday-is-free.html", "Utah -13.5 2.2% Play")</f>
        <v>Utah -13.5 2.2% Play</v>
      </c>
      <c r="E854" s="11">
        <v>2.2000000000000002</v>
      </c>
      <c r="F854" s="11">
        <v>-1.1000000000000001</v>
      </c>
      <c r="G854" s="11" t="s">
        <v>4</v>
      </c>
      <c r="H854" s="13">
        <v>2000</v>
      </c>
      <c r="I854" s="14">
        <f t="shared" si="29"/>
        <v>-2.9817799999999995E-2</v>
      </c>
      <c r="J854" s="13">
        <f t="shared" si="30"/>
        <v>269195.08999999997</v>
      </c>
    </row>
    <row r="855" spans="1:10" x14ac:dyDescent="0.25">
      <c r="A855" s="10">
        <v>43380.684027777781</v>
      </c>
      <c r="B855" s="11" t="s">
        <v>2</v>
      </c>
      <c r="C855" s="11" t="s">
        <v>5</v>
      </c>
      <c r="D855" s="16" t="str">
        <f>HYPERLINK("https://freddywills.com/pick/6916/3-3-nfl-play-raiders-vs-chargers-guaranteed-or-back.html", "Raiders +5 3.3% play ")</f>
        <v xml:space="preserve">Raiders +5 3.3% play </v>
      </c>
      <c r="E855" s="11">
        <v>3.3</v>
      </c>
      <c r="F855" s="11">
        <v>-1.1000000000000001</v>
      </c>
      <c r="G855" s="11" t="s">
        <v>6</v>
      </c>
      <c r="H855" s="13">
        <v>-3300</v>
      </c>
      <c r="I855" s="14">
        <f t="shared" si="29"/>
        <v>-4.9817799999999995E-2</v>
      </c>
      <c r="J855" s="13">
        <f t="shared" si="30"/>
        <v>267195.08999999997</v>
      </c>
    </row>
    <row r="856" spans="1:10" x14ac:dyDescent="0.25">
      <c r="A856" s="10">
        <v>43380.541666666664</v>
      </c>
      <c r="B856" s="11" t="s">
        <v>2</v>
      </c>
      <c r="C856" s="11" t="s">
        <v>5</v>
      </c>
      <c r="D856" s="16" t="str">
        <f>HYPERLINK("https://freddywills.com/pick/6912/5-5-max-nfl-pod-bills-vs-titans-32-18-ats-l50-nfl-pods.html", "Bills +5 5.5% NFL POD")</f>
        <v>Bills +5 5.5% NFL POD</v>
      </c>
      <c r="E856" s="11">
        <v>5.5</v>
      </c>
      <c r="F856" s="11">
        <v>-1.1000000000000001</v>
      </c>
      <c r="G856" s="11" t="s">
        <v>4</v>
      </c>
      <c r="H856" s="13">
        <v>5000</v>
      </c>
      <c r="I856" s="14">
        <f t="shared" si="29"/>
        <v>-1.6817799999999994E-2</v>
      </c>
      <c r="J856" s="13">
        <f t="shared" si="30"/>
        <v>270495.08999999997</v>
      </c>
    </row>
    <row r="857" spans="1:10" x14ac:dyDescent="0.25">
      <c r="A857" s="10">
        <v>43380.541666666664</v>
      </c>
      <c r="B857" s="11" t="s">
        <v>2</v>
      </c>
      <c r="C857" s="11" t="s">
        <v>5</v>
      </c>
      <c r="D857" s="16" t="str">
        <f>HYPERLINK("https://freddywills.com/pick/6913/34-17-ats-run-in-nfl-browns-vs-ravens-guaranteed-or-back.html", "Browns +3 +105 2.5% play ")</f>
        <v xml:space="preserve">Browns +3 +105 2.5% play </v>
      </c>
      <c r="E857" s="11">
        <v>2.5</v>
      </c>
      <c r="F857" s="11">
        <v>1.05</v>
      </c>
      <c r="G857" s="11" t="s">
        <v>4</v>
      </c>
      <c r="H857" s="13">
        <v>2625</v>
      </c>
      <c r="I857" s="14">
        <f t="shared" si="29"/>
        <v>-6.6817799999999997E-2</v>
      </c>
      <c r="J857" s="13">
        <f t="shared" si="30"/>
        <v>265495.08999999997</v>
      </c>
    </row>
    <row r="858" spans="1:10" x14ac:dyDescent="0.25">
      <c r="A858" s="10">
        <v>43380.541666666664</v>
      </c>
      <c r="B858" s="11" t="s">
        <v>2</v>
      </c>
      <c r="C858" s="11" t="s">
        <v>5</v>
      </c>
      <c r="D858" s="16" t="str">
        <f>HYPERLINK("https://freddywills.com/pick/6914/dolphins-vs-bengals-nfl-free-pick-42-21-ats-l63-free-nfl-picks.html", "Dolphins +6 1.1% Free Play")</f>
        <v>Dolphins +6 1.1% Free Play</v>
      </c>
      <c r="E858" s="11">
        <v>1.1000000000000001</v>
      </c>
      <c r="F858" s="11">
        <v>-1.1000000000000001</v>
      </c>
      <c r="G858" s="11" t="s">
        <v>6</v>
      </c>
      <c r="H858" s="13">
        <v>-1100</v>
      </c>
      <c r="I858" s="14">
        <f t="shared" si="29"/>
        <v>-9.3067799999999992E-2</v>
      </c>
      <c r="J858" s="13">
        <f t="shared" si="30"/>
        <v>262870.08999999997</v>
      </c>
    </row>
    <row r="859" spans="1:10" x14ac:dyDescent="0.25">
      <c r="A859" s="10">
        <v>43380.541666666664</v>
      </c>
      <c r="B859" s="11" t="s">
        <v>2</v>
      </c>
      <c r="C859" s="11" t="s">
        <v>5</v>
      </c>
      <c r="D859" s="16" t="str">
        <f>HYPERLINK("https://freddywills.com/pick/6915/steelers-vs-falcons-guaranteed-or-back.html", "Steelers -3 -125 3% play ")</f>
        <v xml:space="preserve">Steelers -3 -125 3% play </v>
      </c>
      <c r="E859" s="11">
        <v>3</v>
      </c>
      <c r="F859" s="11">
        <v>-1.25</v>
      </c>
      <c r="G859" s="11" t="s">
        <v>4</v>
      </c>
      <c r="H859" s="13">
        <v>2400</v>
      </c>
      <c r="I859" s="14">
        <f t="shared" si="29"/>
        <v>-8.2067799999999996E-2</v>
      </c>
      <c r="J859" s="13">
        <f t="shared" si="30"/>
        <v>263970.08999999997</v>
      </c>
    </row>
    <row r="860" spans="1:10" x14ac:dyDescent="0.25">
      <c r="A860" s="10">
        <v>43379.999305555553</v>
      </c>
      <c r="B860" s="11" t="s">
        <v>8</v>
      </c>
      <c r="C860" s="11" t="s">
        <v>18</v>
      </c>
      <c r="D860" s="16" t="str">
        <f>HYPERLINK("https://freddywills.com/pick/6902/3-money-line-dog-of-the-week-guaranteed-or-back-only-10.html", "Wyoming +145 3% ML Dog of the week")</f>
        <v>Wyoming +145 3% ML Dog of the week</v>
      </c>
      <c r="E860" s="11">
        <v>3</v>
      </c>
      <c r="F860" s="11">
        <v>1.45</v>
      </c>
      <c r="G860" s="11" t="s">
        <v>6</v>
      </c>
      <c r="H860" s="13">
        <v>-3000</v>
      </c>
      <c r="I860" s="14">
        <f t="shared" si="29"/>
        <v>-0.10606779999999999</v>
      </c>
      <c r="J860" s="13">
        <f t="shared" si="30"/>
        <v>261570.08999999997</v>
      </c>
    </row>
    <row r="861" spans="1:10" x14ac:dyDescent="0.25">
      <c r="A861" s="10">
        <v>43379.833333333336</v>
      </c>
      <c r="B861" s="11" t="s">
        <v>8</v>
      </c>
      <c r="C861" s="11" t="s">
        <v>5</v>
      </c>
      <c r="D861" s="16" t="str">
        <f>HYPERLINK("https://freddywills.com/pick/6910/virginia-tech-vs-notre-dame-guaranteed-or-back.html", "Virginia Tech +7 3.3% play ")</f>
        <v xml:space="preserve">Virginia Tech +7 3.3% play </v>
      </c>
      <c r="E861" s="11">
        <v>3.3</v>
      </c>
      <c r="F861" s="11">
        <v>-1.1000000000000001</v>
      </c>
      <c r="G861" s="11" t="s">
        <v>6</v>
      </c>
      <c r="H861" s="13">
        <v>-3300</v>
      </c>
      <c r="I861" s="14">
        <f t="shared" si="29"/>
        <v>-7.6067799999999991E-2</v>
      </c>
      <c r="J861" s="13">
        <f t="shared" si="30"/>
        <v>264570.08999999997</v>
      </c>
    </row>
    <row r="862" spans="1:10" x14ac:dyDescent="0.25">
      <c r="A862" s="10">
        <v>43379.791666666664</v>
      </c>
      <c r="B862" s="11" t="s">
        <v>8</v>
      </c>
      <c r="C862" s="11" t="s">
        <v>5</v>
      </c>
      <c r="D862" s="16" t="str">
        <f>HYPERLINK("https://freddywills.com/pick/6911/kentucky-vs-texas-a-m-sec-guaranteed-or-back.html", "Kentucky +6 3.3% play ")</f>
        <v xml:space="preserve">Kentucky +6 3.3% play </v>
      </c>
      <c r="E862" s="11">
        <v>3.3</v>
      </c>
      <c r="F862" s="11">
        <v>-1.1000000000000001</v>
      </c>
      <c r="G862" s="11" t="s">
        <v>9</v>
      </c>
      <c r="H862" s="13">
        <v>0</v>
      </c>
      <c r="I862" s="14">
        <f t="shared" si="29"/>
        <v>-4.3067799999999982E-2</v>
      </c>
      <c r="J862" s="13">
        <f t="shared" si="30"/>
        <v>267870.08999999997</v>
      </c>
    </row>
    <row r="863" spans="1:10" x14ac:dyDescent="0.25">
      <c r="A863" s="10">
        <v>43379.666666666664</v>
      </c>
      <c r="B863" s="11" t="s">
        <v>8</v>
      </c>
      <c r="C863" s="11" t="s">
        <v>5</v>
      </c>
      <c r="D863" s="16" t="str">
        <f>HYPERLINK("https://freddywills.com/pick/6909/pac12-showdown-arizonast-vs-colorado-guaranteed-or-back.html", "Arizona State +2.5 3.3% play ")</f>
        <v xml:space="preserve">Arizona State +2.5 3.3% play </v>
      </c>
      <c r="E863" s="11">
        <v>3.3</v>
      </c>
      <c r="F863" s="11">
        <v>-1.1000000000000001</v>
      </c>
      <c r="G863" s="11" t="s">
        <v>6</v>
      </c>
      <c r="H863" s="13">
        <v>-3300</v>
      </c>
      <c r="I863" s="14">
        <f t="shared" si="29"/>
        <v>-4.3067799999999982E-2</v>
      </c>
      <c r="J863" s="13">
        <f t="shared" si="30"/>
        <v>267870.08999999997</v>
      </c>
    </row>
    <row r="864" spans="1:10" x14ac:dyDescent="0.25">
      <c r="A864" s="10">
        <v>43379.645833333336</v>
      </c>
      <c r="B864" s="11" t="s">
        <v>8</v>
      </c>
      <c r="C864" s="11" t="s">
        <v>10</v>
      </c>
      <c r="D864" s="16" t="str">
        <f>HYPERLINK("https://freddywills.com/pick/6903/college-football-teaser-of-the-week-32-18-l50-cfb-teasers-ml-parlay-bonus-guaranteed-or-bac.html", "Miss State +9.5 / Florida +8 4.4% Teaser of the Week")</f>
        <v>Miss State +9.5 / Florida +8 4.4% Teaser of the Week</v>
      </c>
      <c r="E864" s="11">
        <v>4.4000000000000004</v>
      </c>
      <c r="F864" s="11">
        <v>-1.1000000000000001</v>
      </c>
      <c r="G864" s="11" t="s">
        <v>4</v>
      </c>
      <c r="H864" s="13">
        <v>4000</v>
      </c>
      <c r="I864" s="14">
        <f t="shared" si="29"/>
        <v>-1.0067799999999981E-2</v>
      </c>
      <c r="J864" s="13">
        <f t="shared" si="30"/>
        <v>271170.08999999997</v>
      </c>
    </row>
    <row r="865" spans="1:10" x14ac:dyDescent="0.25">
      <c r="A865" s="10">
        <v>43379.645833333336</v>
      </c>
      <c r="B865" s="11" t="s">
        <v>8</v>
      </c>
      <c r="C865" s="11" t="s">
        <v>12</v>
      </c>
      <c r="D865" s="16" t="str">
        <f>HYPERLINK("https://freddywills.com/pick/6904/ml-parlay-2-dogs-448-part-of-the-teaser-this-week.html", "Florida +115 / MissST +155 ML parlay 0.6% @ +448")</f>
        <v>Florida +115 / MissST +155 ML parlay 0.6% @ +448</v>
      </c>
      <c r="E865" s="11">
        <v>0.6</v>
      </c>
      <c r="F865" s="11">
        <v>4.4800000000000004</v>
      </c>
      <c r="G865" s="11" t="s">
        <v>4</v>
      </c>
      <c r="H865" s="13">
        <v>2688</v>
      </c>
      <c r="I865" s="14">
        <f t="shared" si="29"/>
        <v>-5.0067799999999982E-2</v>
      </c>
      <c r="J865" s="13">
        <f t="shared" si="30"/>
        <v>267170.08999999997</v>
      </c>
    </row>
    <row r="866" spans="1:10" x14ac:dyDescent="0.25">
      <c r="A866" s="10">
        <v>43379.645833333336</v>
      </c>
      <c r="B866" s="11" t="s">
        <v>8</v>
      </c>
      <c r="C866" s="11" t="s">
        <v>5</v>
      </c>
      <c r="D866" s="16" t="str">
        <f>HYPERLINK("https://freddywills.com/pick/6906/maction-ohio-vs-kentst-guaranteed-or-back.html", "Kent State +12 2.2% play ")</f>
        <v xml:space="preserve">Kent State +12 2.2% play </v>
      </c>
      <c r="E866" s="11">
        <v>2.2000000000000002</v>
      </c>
      <c r="F866" s="11">
        <v>-1.1000000000000001</v>
      </c>
      <c r="G866" s="11" t="s">
        <v>4</v>
      </c>
      <c r="H866" s="13">
        <v>2000</v>
      </c>
      <c r="I866" s="14">
        <f t="shared" si="29"/>
        <v>-7.6947799999999983E-2</v>
      </c>
      <c r="J866" s="13">
        <f t="shared" si="30"/>
        <v>264482.08999999997</v>
      </c>
    </row>
    <row r="867" spans="1:10" x14ac:dyDescent="0.25">
      <c r="A867" s="10">
        <v>43379.5</v>
      </c>
      <c r="B867" s="11" t="s">
        <v>8</v>
      </c>
      <c r="C867" s="11" t="s">
        <v>5</v>
      </c>
      <c r="D867" s="16" t="str">
        <f>HYPERLINK("https://freddywills.com/pick/6905/college-football-week-6-free-pick-35-11-ats-last-46-free-college-picks.html", "Tulane +7.5 1.1% Free Pick - 35-11 ATS L46 CFB Free Picks")</f>
        <v>Tulane +7.5 1.1% Free Pick - 35-11 ATS L46 CFB Free Picks</v>
      </c>
      <c r="E867" s="11">
        <v>1.1000000000000001</v>
      </c>
      <c r="F867" s="11">
        <v>-1.1000000000000001</v>
      </c>
      <c r="G867" s="11" t="s">
        <v>6</v>
      </c>
      <c r="H867" s="13">
        <v>-1100</v>
      </c>
      <c r="I867" s="14">
        <f t="shared" si="29"/>
        <v>-9.6947799999999987E-2</v>
      </c>
      <c r="J867" s="13">
        <f t="shared" si="30"/>
        <v>262482.08999999997</v>
      </c>
    </row>
    <row r="868" spans="1:10" x14ac:dyDescent="0.25">
      <c r="A868" s="10">
        <v>43379.5</v>
      </c>
      <c r="B868" s="11" t="s">
        <v>8</v>
      </c>
      <c r="C868" s="11" t="s">
        <v>5</v>
      </c>
      <c r="D868" s="16" t="str">
        <f>HYPERLINK("https://freddywills.com/pick/6908/4-5-ncaaf-pod-guaranteed-or-back-redriverrivalry-texas-vs-oklahoma.html", "Texas +7.5 4.5% POD @ -1.15")</f>
        <v>Texas +7.5 4.5% POD @ -1.15</v>
      </c>
      <c r="E868" s="11">
        <v>4.5</v>
      </c>
      <c r="F868" s="11">
        <v>-1.1499999999999999</v>
      </c>
      <c r="G868" s="11" t="s">
        <v>4</v>
      </c>
      <c r="H868" s="13">
        <v>3913.04</v>
      </c>
      <c r="I868" s="14">
        <f t="shared" si="29"/>
        <v>-8.5947799999999991E-2</v>
      </c>
      <c r="J868" s="13">
        <f t="shared" si="30"/>
        <v>263582.08999999997</v>
      </c>
    </row>
    <row r="869" spans="1:10" x14ac:dyDescent="0.25">
      <c r="A869" s="10">
        <v>43378.875</v>
      </c>
      <c r="B869" s="11" t="s">
        <v>8</v>
      </c>
      <c r="C869" s="11" t="s">
        <v>5</v>
      </c>
      <c r="D869" s="16" t="str">
        <f>HYPERLINK("https://freddywills.com/pick/6907/utahst-vs-byu-friday-night-guaranteed-or-back-saturday-s-full-card-is-free.html", "BYU -2.5 2.2% Play")</f>
        <v>BYU -2.5 2.2% Play</v>
      </c>
      <c r="E869" s="11">
        <v>2.2000000000000002</v>
      </c>
      <c r="F869" s="11">
        <v>-1.1000000000000001</v>
      </c>
      <c r="G869" s="11" t="s">
        <v>6</v>
      </c>
      <c r="H869" s="13">
        <v>-2200</v>
      </c>
      <c r="I869" s="14">
        <f t="shared" si="29"/>
        <v>-0.1250782</v>
      </c>
      <c r="J869" s="13">
        <f t="shared" si="30"/>
        <v>259669.05</v>
      </c>
    </row>
    <row r="870" spans="1:10" x14ac:dyDescent="0.25">
      <c r="A870" s="10">
        <v>43374.854166666664</v>
      </c>
      <c r="B870" s="11" t="s">
        <v>2</v>
      </c>
      <c r="C870" s="11" t="s">
        <v>5</v>
      </c>
      <c r="D870" s="16" t="str">
        <f>HYPERLINK("https://freddywills.com/pick/6898/monday-night-football-chiefs-vs-broncos-guaranteed-or-back-30-16-ats-run-on-nfl-picks.html", "Broncos +4.5 4.4% play ")</f>
        <v xml:space="preserve">Broncos +4.5 4.4% play </v>
      </c>
      <c r="E870" s="11">
        <v>4.4000000000000004</v>
      </c>
      <c r="F870" s="11">
        <v>-1.1000000000000001</v>
      </c>
      <c r="G870" s="11" t="s">
        <v>4</v>
      </c>
      <c r="H870" s="13">
        <v>4000</v>
      </c>
      <c r="I870" s="14">
        <f t="shared" si="29"/>
        <v>-0.10307820000000001</v>
      </c>
      <c r="J870" s="13">
        <f t="shared" si="30"/>
        <v>261869.05</v>
      </c>
    </row>
    <row r="871" spans="1:10" x14ac:dyDescent="0.25">
      <c r="A871" s="10">
        <v>43373.847222222219</v>
      </c>
      <c r="B871" s="11" t="s">
        <v>2</v>
      </c>
      <c r="C871" s="11" t="s">
        <v>7</v>
      </c>
      <c r="D871" s="16" t="str">
        <f>HYPERLINK("https://freddywills.com/pick/6899/nfl-total-of-the-week-sunday-night-football-ravens-vs-steelers-30-16-ats-nfl-run.html", "Ravens/Steelers Under 50 2.2% play ")</f>
        <v xml:space="preserve">Ravens/Steelers Under 50 2.2% play </v>
      </c>
      <c r="E871" s="11">
        <v>2.2000000000000002</v>
      </c>
      <c r="F871" s="11">
        <v>-1.1000000000000001</v>
      </c>
      <c r="G871" s="11" t="s">
        <v>4</v>
      </c>
      <c r="H871" s="13">
        <v>2000</v>
      </c>
      <c r="I871" s="14">
        <f t="shared" si="29"/>
        <v>-0.14307820000000002</v>
      </c>
      <c r="J871" s="13">
        <f t="shared" si="30"/>
        <v>257869.05</v>
      </c>
    </row>
    <row r="872" spans="1:10" x14ac:dyDescent="0.25">
      <c r="A872" s="10">
        <v>43373.684027777781</v>
      </c>
      <c r="B872" s="11" t="s">
        <v>2</v>
      </c>
      <c r="C872" s="11" t="s">
        <v>5</v>
      </c>
      <c r="D872" s="16" t="str">
        <f>HYPERLINK("https://freddywills.com/pick/6897/5-5-max-rated-nfl-pod-37-19-ats-66-l56-max-rated-nfl-pod-s-guaranteed-or-back.html", "NY Giants +3.5 5.5% NFL POD")</f>
        <v>NY Giants +3.5 5.5% NFL POD</v>
      </c>
      <c r="E872" s="11">
        <v>5.5</v>
      </c>
      <c r="F872" s="11">
        <v>-1.1000000000000001</v>
      </c>
      <c r="G872" s="11" t="s">
        <v>6</v>
      </c>
      <c r="H872" s="13">
        <v>-5500</v>
      </c>
      <c r="I872" s="14">
        <f t="shared" si="29"/>
        <v>-0.16307820000000001</v>
      </c>
      <c r="J872" s="13">
        <f t="shared" si="30"/>
        <v>255869.05</v>
      </c>
    </row>
    <row r="873" spans="1:10" x14ac:dyDescent="0.25">
      <c r="A873" s="10">
        <v>43373.541666666664</v>
      </c>
      <c r="B873" s="11" t="s">
        <v>2</v>
      </c>
      <c r="C873" s="11" t="s">
        <v>5</v>
      </c>
      <c r="D873" s="16" t="str">
        <f>HYPERLINK("https://freddywills.com/pick/6900/sunday-s-nfl-free-pick-texans-vs-colts.html", "Texans pk 1.1% Free Play")</f>
        <v>Texans pk 1.1% Free Play</v>
      </c>
      <c r="E873" s="11">
        <v>1.1000000000000001</v>
      </c>
      <c r="F873" s="11">
        <v>-1.1000000000000001</v>
      </c>
      <c r="G873" s="11" t="s">
        <v>4</v>
      </c>
      <c r="H873" s="13">
        <v>1000</v>
      </c>
      <c r="I873" s="14">
        <f t="shared" si="29"/>
        <v>-0.1080782</v>
      </c>
      <c r="J873" s="13">
        <f t="shared" si="30"/>
        <v>261369.05</v>
      </c>
    </row>
    <row r="874" spans="1:10" x14ac:dyDescent="0.25">
      <c r="A874" s="10">
        <v>43373.541666666664</v>
      </c>
      <c r="B874" s="11" t="s">
        <v>2</v>
      </c>
      <c r="C874" s="11" t="s">
        <v>5</v>
      </c>
      <c r="D874" s="16" t="str">
        <f>HYPERLINK("https://freddywills.com/pick/6901/3-nfl-early-bird-bears-vs-bucs.html", "Bears -3 +100 3% play")</f>
        <v>Bears -3 +100 3% play</v>
      </c>
      <c r="E874" s="11">
        <v>3</v>
      </c>
      <c r="F874" s="11">
        <v>1</v>
      </c>
      <c r="G874" s="11" t="s">
        <v>4</v>
      </c>
      <c r="H874" s="13">
        <v>3000</v>
      </c>
      <c r="I874" s="14">
        <f t="shared" si="29"/>
        <v>-0.11807819999999999</v>
      </c>
      <c r="J874" s="13">
        <f t="shared" si="30"/>
        <v>260369.05</v>
      </c>
    </row>
    <row r="875" spans="1:10" x14ac:dyDescent="0.25">
      <c r="A875" s="10">
        <v>43372.8125</v>
      </c>
      <c r="B875" s="11" t="s">
        <v>8</v>
      </c>
      <c r="C875" s="11" t="s">
        <v>5</v>
      </c>
      <c r="D875" s="16" t="str">
        <f>HYPERLINK("https://freddywills.com/pick/6883/saturday-s-big-ten-game-of-the-week-ohiost-vs-pennst.html", "Ohio State -3.5 4.4% Play ")</f>
        <v xml:space="preserve">Ohio State -3.5 4.4% Play </v>
      </c>
      <c r="E875" s="11">
        <v>4.4000000000000004</v>
      </c>
      <c r="F875" s="11">
        <v>-1.1000000000000001</v>
      </c>
      <c r="G875" s="11" t="s">
        <v>6</v>
      </c>
      <c r="H875" s="13">
        <v>-4400</v>
      </c>
      <c r="I875" s="14">
        <f t="shared" si="29"/>
        <v>-0.14807819999999999</v>
      </c>
      <c r="J875" s="13">
        <f t="shared" si="30"/>
        <v>257369.05</v>
      </c>
    </row>
    <row r="876" spans="1:10" x14ac:dyDescent="0.25">
      <c r="A876" s="10">
        <v>43372.8125</v>
      </c>
      <c r="B876" s="11" t="s">
        <v>8</v>
      </c>
      <c r="C876" s="11" t="s">
        <v>5</v>
      </c>
      <c r="D876" s="16" t="str">
        <f>HYPERLINK("https://freddywills.com/pick/6886/max-rated-ncaaf-pod-93-64-ats-59-2-run-on-ncaaf-max-rated-pod-s-since-nov-2011.html", "South Carolina +1 5.5% NCAAF POD")</f>
        <v>South Carolina +1 5.5% NCAAF POD</v>
      </c>
      <c r="E876" s="11">
        <v>5.5</v>
      </c>
      <c r="F876" s="11">
        <v>-1.1000000000000001</v>
      </c>
      <c r="G876" s="11" t="s">
        <v>6</v>
      </c>
      <c r="H876" s="13">
        <v>-5500</v>
      </c>
      <c r="I876" s="14">
        <f t="shared" si="29"/>
        <v>-0.10407820000000001</v>
      </c>
      <c r="J876" s="13">
        <f t="shared" si="30"/>
        <v>261769.05</v>
      </c>
    </row>
    <row r="877" spans="1:10" x14ac:dyDescent="0.25">
      <c r="A877" s="10">
        <v>43372.791666666664</v>
      </c>
      <c r="B877" s="11" t="s">
        <v>8</v>
      </c>
      <c r="C877" s="11" t="s">
        <v>18</v>
      </c>
      <c r="D877" s="16" t="str">
        <f>HYPERLINK("https://freddywills.com/pick/6889/money-line-dog-of-the-week-300-or-greater-guaranteed-or-back.html", "San Jose State +330 2% Play ")</f>
        <v xml:space="preserve">San Jose State +330 2% Play </v>
      </c>
      <c r="E877" s="11">
        <v>2</v>
      </c>
      <c r="F877" s="11">
        <v>3.3</v>
      </c>
      <c r="G877" s="11" t="s">
        <v>6</v>
      </c>
      <c r="H877" s="13">
        <v>-2000</v>
      </c>
      <c r="I877" s="14">
        <f t="shared" si="29"/>
        <v>-4.9078200000000002E-2</v>
      </c>
      <c r="J877" s="13">
        <f t="shared" si="30"/>
        <v>267269.05</v>
      </c>
    </row>
    <row r="878" spans="1:10" x14ac:dyDescent="0.25">
      <c r="A878" s="10">
        <v>43372.791666666664</v>
      </c>
      <c r="B878" s="11" t="s">
        <v>8</v>
      </c>
      <c r="C878" s="11" t="s">
        <v>10</v>
      </c>
      <c r="D878" s="16" t="str">
        <f>HYPERLINK("https://freddywills.com/pick/6896/teaser-of-the-week-pac-12-acc-games-58-career-on-teasers-guaranteed-or-back.html", "Virginia Tech +10.5 / Cal +8.5 3.3% Teaser")</f>
        <v>Virginia Tech +10.5 / Cal +8.5 3.3% Teaser</v>
      </c>
      <c r="E878" s="11">
        <v>3.3</v>
      </c>
      <c r="F878" s="11">
        <v>-1.1000000000000001</v>
      </c>
      <c r="G878" s="11" t="s">
        <v>6</v>
      </c>
      <c r="H878" s="13">
        <v>-3300</v>
      </c>
      <c r="I878" s="14">
        <f t="shared" si="29"/>
        <v>-2.9078199999999998E-2</v>
      </c>
      <c r="J878" s="13">
        <f t="shared" si="30"/>
        <v>269269.05</v>
      </c>
    </row>
    <row r="879" spans="1:10" x14ac:dyDescent="0.25">
      <c r="A879" s="10">
        <v>43372.75</v>
      </c>
      <c r="B879" s="11" t="s">
        <v>8</v>
      </c>
      <c r="C879" s="11" t="s">
        <v>5</v>
      </c>
      <c r="D879" s="16" t="str">
        <f>HYPERLINK("https://freddywills.com/pick/6895/3-3-pac12-washingtonst-vs-utah-guaranteed-or-back.html", "Utah -1.5 3.3% play ")</f>
        <v xml:space="preserve">Utah -1.5 3.3% play </v>
      </c>
      <c r="E879" s="11">
        <v>3.3</v>
      </c>
      <c r="F879" s="11">
        <v>-1.1000000000000001</v>
      </c>
      <c r="G879" s="11" t="s">
        <v>6</v>
      </c>
      <c r="H879" s="13">
        <v>-3300</v>
      </c>
      <c r="I879" s="14">
        <f t="shared" si="29"/>
        <v>3.9218000000000031E-3</v>
      </c>
      <c r="J879" s="13">
        <f t="shared" si="30"/>
        <v>272569.05</v>
      </c>
    </row>
    <row r="880" spans="1:10" x14ac:dyDescent="0.25">
      <c r="A880" s="10">
        <v>43372.6875</v>
      </c>
      <c r="B880" s="11" t="s">
        <v>8</v>
      </c>
      <c r="C880" s="11" t="s">
        <v>5</v>
      </c>
      <c r="D880" s="16" t="str">
        <f>HYPERLINK("https://freddywills.com/pick/6887/saturday-s-free-pick-34-9-ats-l43-free-college-football-picks-michigan-vs-northwestern.html", "Northwestern +14.5 1.1% Free Play ")</f>
        <v xml:space="preserve">Northwestern +14.5 1.1% Free Play </v>
      </c>
      <c r="E880" s="11">
        <v>1.1000000000000001</v>
      </c>
      <c r="F880" s="11">
        <v>-1.1000000000000001</v>
      </c>
      <c r="G880" s="11" t="s">
        <v>4</v>
      </c>
      <c r="H880" s="13">
        <v>1000</v>
      </c>
      <c r="I880" s="14">
        <f t="shared" si="29"/>
        <v>3.6921800000000005E-2</v>
      </c>
      <c r="J880" s="13">
        <f t="shared" si="30"/>
        <v>275869.05</v>
      </c>
    </row>
    <row r="881" spans="1:10" x14ac:dyDescent="0.25">
      <c r="A881" s="10">
        <v>43372.5</v>
      </c>
      <c r="B881" s="11" t="s">
        <v>8</v>
      </c>
      <c r="C881" s="11" t="s">
        <v>5</v>
      </c>
      <c r="D881" s="16" t="str">
        <f>HYPERLINK("https://freddywills.com/pick/6888/saturday-s-early-bird-special-kansas-vs-oklahomast-264-216-ats-l480-ncaaf-3-picks.html", "Kansas +17 3.3% play ")</f>
        <v xml:space="preserve">Kansas +17 3.3% play </v>
      </c>
      <c r="E881" s="11">
        <v>3.3</v>
      </c>
      <c r="F881" s="11">
        <v>-1.1000000000000001</v>
      </c>
      <c r="G881" s="11" t="s">
        <v>6</v>
      </c>
      <c r="H881" s="13">
        <v>-3300</v>
      </c>
      <c r="I881" s="14">
        <f t="shared" si="29"/>
        <v>2.6921800000000003E-2</v>
      </c>
      <c r="J881" s="13">
        <f t="shared" si="30"/>
        <v>274869.05</v>
      </c>
    </row>
    <row r="882" spans="1:10" x14ac:dyDescent="0.25">
      <c r="A882" s="10">
        <v>43372.5</v>
      </c>
      <c r="B882" s="11" t="s">
        <v>8</v>
      </c>
      <c r="C882" s="11" t="s">
        <v>5</v>
      </c>
      <c r="D882" s="16" t="str">
        <f>HYPERLINK("https://freddywills.com/pick/6890/pittsburgh-vs-centralflorida-guaranteed-or-back.html", "Pittsburgh +13 2.2% Play ")</f>
        <v xml:space="preserve">Pittsburgh +13 2.2% Play </v>
      </c>
      <c r="E882" s="11">
        <v>2.2000000000000002</v>
      </c>
      <c r="F882" s="11">
        <v>-1.1000000000000001</v>
      </c>
      <c r="G882" s="11" t="s">
        <v>6</v>
      </c>
      <c r="H882" s="13">
        <v>-2200</v>
      </c>
      <c r="I882" s="14">
        <f t="shared" si="29"/>
        <v>5.9921800000000004E-2</v>
      </c>
      <c r="J882" s="13">
        <f t="shared" si="30"/>
        <v>278169.05</v>
      </c>
    </row>
    <row r="883" spans="1:10" x14ac:dyDescent="0.25">
      <c r="A883" s="10">
        <v>43372.5</v>
      </c>
      <c r="B883" s="11" t="s">
        <v>8</v>
      </c>
      <c r="C883" s="11" t="s">
        <v>5</v>
      </c>
      <c r="D883" s="16" t="str">
        <f>HYPERLINK("https://freddywills.com/pick/6891/arkansas-vs-txa-m-2-2-play-guaranteed-or-back.html", "Arkansas +21.5 2.2% Play ")</f>
        <v xml:space="preserve">Arkansas +21.5 2.2% Play </v>
      </c>
      <c r="E883" s="11">
        <v>2.2000000000000002</v>
      </c>
      <c r="F883" s="11">
        <v>-1.1000000000000001</v>
      </c>
      <c r="G883" s="11" t="s">
        <v>4</v>
      </c>
      <c r="H883" s="13">
        <v>2000</v>
      </c>
      <c r="I883" s="14">
        <f t="shared" si="29"/>
        <v>8.1921800000000003E-2</v>
      </c>
      <c r="J883" s="13">
        <f t="shared" si="30"/>
        <v>280369.05</v>
      </c>
    </row>
    <row r="884" spans="1:10" x14ac:dyDescent="0.25">
      <c r="A884" s="10">
        <v>43372.5</v>
      </c>
      <c r="B884" s="11" t="s">
        <v>8</v>
      </c>
      <c r="C884" s="11" t="s">
        <v>5</v>
      </c>
      <c r="D884" s="16" t="str">
        <f>HYPERLINK("https://freddywills.com/pick/6894/bostoncollege-vs-temple-early-bird-special-2-2-play.html", "Boston College -12.5 2.2% play ")</f>
        <v xml:space="preserve">Boston College -12.5 2.2% play </v>
      </c>
      <c r="E884" s="11">
        <v>2.2000000000000002</v>
      </c>
      <c r="F884" s="11">
        <v>-1.1000000000000001</v>
      </c>
      <c r="G884" s="11" t="s">
        <v>6</v>
      </c>
      <c r="H884" s="13">
        <v>-2200</v>
      </c>
      <c r="I884" s="14">
        <f t="shared" si="29"/>
        <v>6.1921800000000006E-2</v>
      </c>
      <c r="J884" s="13">
        <f t="shared" si="30"/>
        <v>278369.05</v>
      </c>
    </row>
    <row r="885" spans="1:10" x14ac:dyDescent="0.25">
      <c r="A885" s="10">
        <v>43371.833333333336</v>
      </c>
      <c r="B885" s="11" t="s">
        <v>8</v>
      </c>
      <c r="C885" s="11" t="s">
        <v>5</v>
      </c>
      <c r="D885" s="16" t="str">
        <f>HYPERLINK("https://freddywills.com/pick/6893/friday-night-lights-memphis-vs-tulane-guaranteed-or-back-saturday-full-card-free.html", "Tulane +15 2.2% play ")</f>
        <v xml:space="preserve">Tulane +15 2.2% play </v>
      </c>
      <c r="E885" s="11">
        <v>2.2000000000000002</v>
      </c>
      <c r="F885" s="11">
        <v>-1.1000000000000001</v>
      </c>
      <c r="G885" s="11" t="s">
        <v>4</v>
      </c>
      <c r="H885" s="13">
        <v>2000</v>
      </c>
      <c r="I885" s="14">
        <f t="shared" si="29"/>
        <v>8.3921800000000005E-2</v>
      </c>
      <c r="J885" s="13">
        <f t="shared" si="30"/>
        <v>280569.05</v>
      </c>
    </row>
    <row r="886" spans="1:10" x14ac:dyDescent="0.25">
      <c r="A886" s="10">
        <v>43370.847222222219</v>
      </c>
      <c r="B886" s="11" t="s">
        <v>2</v>
      </c>
      <c r="C886" s="11" t="s">
        <v>5</v>
      </c>
      <c r="D886" s="16" t="str">
        <f>HYPERLINK("https://freddywills.com/pick/6885/vikings-vs-rams-3-play-59-ats-since-2009-on-september-nfl-picks.html", "Vikings +7.5 -1.15 3% play ")</f>
        <v xml:space="preserve">Vikings +7.5 -1.15 3% play </v>
      </c>
      <c r="E886" s="11">
        <v>3</v>
      </c>
      <c r="F886" s="11">
        <v>-1.1499999999999999</v>
      </c>
      <c r="G886" s="11" t="s">
        <v>4</v>
      </c>
      <c r="H886" s="13">
        <v>2608.6999999999998</v>
      </c>
      <c r="I886" s="14">
        <f t="shared" si="29"/>
        <v>6.3921800000000001E-2</v>
      </c>
      <c r="J886" s="13">
        <f t="shared" si="30"/>
        <v>278569.05</v>
      </c>
    </row>
    <row r="887" spans="1:10" x14ac:dyDescent="0.25">
      <c r="A887" s="10">
        <v>43367.864583333336</v>
      </c>
      <c r="B887" s="11" t="s">
        <v>2</v>
      </c>
      <c r="C887" s="11" t="s">
        <v>5</v>
      </c>
      <c r="D887" s="16" t="str">
        <f>HYPERLINK("https://freddywills.com/pick/6882/monday-night-football-steelers-vs-bucs-guaranteed-or-back-4-4-play.html", "Steelers pk 4.4% play ")</f>
        <v xml:space="preserve">Steelers pk 4.4% play </v>
      </c>
      <c r="E887" s="11">
        <v>4.4000000000000004</v>
      </c>
      <c r="F887" s="11">
        <v>-1.1000000000000001</v>
      </c>
      <c r="G887" s="11" t="s">
        <v>4</v>
      </c>
      <c r="H887" s="13">
        <v>4000</v>
      </c>
      <c r="I887" s="14">
        <f t="shared" si="29"/>
        <v>3.7834800000000009E-2</v>
      </c>
      <c r="J887" s="13">
        <f t="shared" si="30"/>
        <v>275960.34999999998</v>
      </c>
    </row>
    <row r="888" spans="1:10" x14ac:dyDescent="0.25">
      <c r="A888" s="10">
        <v>43366.541666666664</v>
      </c>
      <c r="B888" s="11" t="s">
        <v>2</v>
      </c>
      <c r="C888" s="11" t="s">
        <v>18</v>
      </c>
      <c r="D888" s="16" t="str">
        <f>HYPERLINK("https://freddywills.com/pick/6878/36-19-ats-run-on-max-nfl-pod-s-today-s-play-is-a-ml-dog.html", "Redskins +135 5.5% POD")</f>
        <v>Redskins +135 5.5% POD</v>
      </c>
      <c r="E888" s="11">
        <v>5.5</v>
      </c>
      <c r="F888" s="11">
        <v>1.35</v>
      </c>
      <c r="G888" s="11" t="s">
        <v>4</v>
      </c>
      <c r="H888" s="13">
        <v>7425</v>
      </c>
      <c r="I888" s="14">
        <f t="shared" si="29"/>
        <v>-2.1651999999999921E-3</v>
      </c>
      <c r="J888" s="13">
        <f t="shared" si="30"/>
        <v>271960.34999999998</v>
      </c>
    </row>
    <row r="889" spans="1:10" x14ac:dyDescent="0.25">
      <c r="A889" s="10">
        <v>43366.541666666664</v>
      </c>
      <c r="B889" s="11" t="s">
        <v>2</v>
      </c>
      <c r="C889" s="11" t="s">
        <v>5</v>
      </c>
      <c r="D889" s="16" t="str">
        <f>HYPERLINK("https://freddywills.com/pick/6879/jaguars-vs-titans-guaranteed-or-back.html", "Jaguars -10 2.2% play ")</f>
        <v xml:space="preserve">Jaguars -10 2.2% play </v>
      </c>
      <c r="E889" s="11">
        <v>2.2000000000000002</v>
      </c>
      <c r="F889" s="11">
        <v>-1.1000000000000001</v>
      </c>
      <c r="G889" s="11" t="s">
        <v>6</v>
      </c>
      <c r="H889" s="13">
        <v>-2200</v>
      </c>
      <c r="I889" s="14">
        <f t="shared" si="29"/>
        <v>-7.6415199999999989E-2</v>
      </c>
      <c r="J889" s="13">
        <f t="shared" si="30"/>
        <v>264535.34999999998</v>
      </c>
    </row>
    <row r="890" spans="1:10" x14ac:dyDescent="0.25">
      <c r="A890" s="10">
        <v>43366.541666666664</v>
      </c>
      <c r="B890" s="11" t="s">
        <v>2</v>
      </c>
      <c r="C890" s="11" t="s">
        <v>5</v>
      </c>
      <c r="D890" s="16" t="str">
        <f>HYPERLINK("https://freddywills.com/pick/6880/49ers-vs-chiefs-3-3-premium-play-60-ats-winners-l176-nfl-picks-in-september.html", "49ers +6.5 3.3% play ")</f>
        <v xml:space="preserve">49ers +6.5 3.3% play </v>
      </c>
      <c r="E890" s="11">
        <v>3.3</v>
      </c>
      <c r="F890" s="11">
        <v>-1.1000000000000001</v>
      </c>
      <c r="G890" s="11" t="s">
        <v>6</v>
      </c>
      <c r="H890" s="13">
        <v>-3300</v>
      </c>
      <c r="I890" s="14">
        <f t="shared" si="29"/>
        <v>-5.4415199999999983E-2</v>
      </c>
      <c r="J890" s="13">
        <f t="shared" si="30"/>
        <v>266735.34999999998</v>
      </c>
    </row>
    <row r="891" spans="1:10" x14ac:dyDescent="0.25">
      <c r="A891" s="10">
        <v>43366.541666666664</v>
      </c>
      <c r="B891" s="11" t="s">
        <v>2</v>
      </c>
      <c r="C891" s="11" t="s">
        <v>5</v>
      </c>
      <c r="D891" s="16" t="str">
        <f>HYPERLINK("https://freddywills.com/pick/6881/broncos-vs-ravens-3-3-play-guaranteed-or-back.html", "Ravens -6 3.3% play ")</f>
        <v xml:space="preserve">Ravens -6 3.3% play </v>
      </c>
      <c r="E891" s="11">
        <v>3.3</v>
      </c>
      <c r="F891" s="11">
        <v>-1.1000000000000001</v>
      </c>
      <c r="G891" s="11" t="s">
        <v>4</v>
      </c>
      <c r="H891" s="13">
        <v>3000</v>
      </c>
      <c r="I891" s="14">
        <f t="shared" si="29"/>
        <v>-2.1415199999999981E-2</v>
      </c>
      <c r="J891" s="13">
        <f t="shared" si="30"/>
        <v>270035.34999999998</v>
      </c>
    </row>
    <row r="892" spans="1:10" x14ac:dyDescent="0.25">
      <c r="A892" s="10">
        <v>43365.9375</v>
      </c>
      <c r="B892" s="11" t="s">
        <v>8</v>
      </c>
      <c r="C892" s="11" t="s">
        <v>7</v>
      </c>
      <c r="D892" s="16" t="str">
        <f>HYPERLINK("https://freddywills.com/pick/6876/pac12-total-of-the-week-arizonast-vs-washington.html", "ASU/Washington Under 51.5 2.2% ")</f>
        <v xml:space="preserve">ASU/Washington Under 51.5 2.2% </v>
      </c>
      <c r="E892" s="11">
        <v>2.2000000000000002</v>
      </c>
      <c r="F892" s="11">
        <v>-1.1000000000000001</v>
      </c>
      <c r="G892" s="11" t="s">
        <v>4</v>
      </c>
      <c r="H892" s="13">
        <v>2000</v>
      </c>
      <c r="I892" s="14">
        <f t="shared" si="29"/>
        <v>-5.141519999999998E-2</v>
      </c>
      <c r="J892" s="13">
        <f t="shared" si="30"/>
        <v>267035.34999999998</v>
      </c>
    </row>
    <row r="893" spans="1:10" x14ac:dyDescent="0.25">
      <c r="A893" s="10">
        <v>43365.872916666667</v>
      </c>
      <c r="B893" s="11" t="s">
        <v>8</v>
      </c>
      <c r="C893" s="11" t="s">
        <v>5</v>
      </c>
      <c r="D893" s="16" t="str">
        <f>HYPERLINK("https://freddywills.com/pick/6869/pac12-game-of-the-week-oregon-vs-stanford-3-3-play-guaranteed-or-back.html", "Oregon +3 3.3% play ")</f>
        <v xml:space="preserve">Oregon +3 3.3% play </v>
      </c>
      <c r="E893" s="11">
        <v>3.3</v>
      </c>
      <c r="F893" s="11">
        <v>-1.1000000000000001</v>
      </c>
      <c r="G893" s="11" t="s">
        <v>6</v>
      </c>
      <c r="H893" s="13">
        <v>-3300</v>
      </c>
      <c r="I893" s="14">
        <f t="shared" si="29"/>
        <v>-7.1415199999999984E-2</v>
      </c>
      <c r="J893" s="13">
        <f t="shared" si="30"/>
        <v>265035.34999999998</v>
      </c>
    </row>
    <row r="894" spans="1:10" x14ac:dyDescent="0.25">
      <c r="A894" s="10">
        <v>43365.8125</v>
      </c>
      <c r="B894" s="11" t="s">
        <v>8</v>
      </c>
      <c r="C894" s="11" t="s">
        <v>7</v>
      </c>
      <c r="D894" s="16" t="str">
        <f>HYPERLINK("https://freddywills.com/pick/6875/big-ten-total-of-the-week-michiganst-vs-indiana-guaranteed-or-back.html", "Mich St / Indiana Under 49 2.2% play ")</f>
        <v xml:space="preserve">Mich St / Indiana Under 49 2.2% play </v>
      </c>
      <c r="E894" s="11">
        <v>2.2000000000000002</v>
      </c>
      <c r="F894" s="11">
        <v>-1.1000000000000001</v>
      </c>
      <c r="G894" s="11" t="s">
        <v>6</v>
      </c>
      <c r="H894" s="13">
        <v>-2200</v>
      </c>
      <c r="I894" s="14">
        <f t="shared" si="29"/>
        <v>-3.8415199999999983E-2</v>
      </c>
      <c r="J894" s="13">
        <f t="shared" si="30"/>
        <v>268335.34999999998</v>
      </c>
    </row>
    <row r="895" spans="1:10" x14ac:dyDescent="0.25">
      <c r="A895" s="10">
        <v>43365.791666666664</v>
      </c>
      <c r="B895" s="11" t="s">
        <v>8</v>
      </c>
      <c r="C895" s="11" t="s">
        <v>5</v>
      </c>
      <c r="D895" s="16" t="str">
        <f>HYPERLINK("https://freddywills.com/pick/6868/4-4-ncaaf-pod-guaranteed-or-back-unlv-vs-arkansas-state.html", "UNLV +7.5 4.4% POD")</f>
        <v>UNLV +7.5 4.4% POD</v>
      </c>
      <c r="E895" s="11">
        <v>4.4000000000000004</v>
      </c>
      <c r="F895" s="11">
        <v>-1.1000000000000001</v>
      </c>
      <c r="G895" s="11" t="s">
        <v>4</v>
      </c>
      <c r="H895" s="13">
        <v>4000</v>
      </c>
      <c r="I895" s="14">
        <f t="shared" si="29"/>
        <v>-1.6415199999999984E-2</v>
      </c>
      <c r="J895" s="13">
        <f t="shared" si="30"/>
        <v>270535.34999999998</v>
      </c>
    </row>
    <row r="896" spans="1:10" x14ac:dyDescent="0.25">
      <c r="A896" s="10">
        <v>43365.791666666664</v>
      </c>
      <c r="B896" s="11" t="s">
        <v>8</v>
      </c>
      <c r="C896" s="11" t="s">
        <v>5</v>
      </c>
      <c r="D896" s="16" t="str">
        <f>HYPERLINK("https://freddywills.com/pick/6871/lsu-vs-latech-3-5-play-guaranteed-56-career-during-week-4.html", "Louisiana Tech +21 -115 3.5% play ")</f>
        <v xml:space="preserve">Louisiana Tech +21 -115 3.5% play </v>
      </c>
      <c r="E896" s="11">
        <v>3.5</v>
      </c>
      <c r="F896" s="11">
        <v>-1.1499999999999999</v>
      </c>
      <c r="G896" s="11" t="s">
        <v>4</v>
      </c>
      <c r="H896" s="13">
        <v>3043.48</v>
      </c>
      <c r="I896" s="14">
        <f t="shared" si="29"/>
        <v>-5.6415199999999985E-2</v>
      </c>
      <c r="J896" s="13">
        <f t="shared" si="30"/>
        <v>266535.34999999998</v>
      </c>
    </row>
    <row r="897" spans="1:10" x14ac:dyDescent="0.25">
      <c r="A897" s="10">
        <v>43365.750694444447</v>
      </c>
      <c r="B897" s="11" t="s">
        <v>8</v>
      </c>
      <c r="C897" s="11" t="s">
        <v>5</v>
      </c>
      <c r="D897" s="16" t="str">
        <f>HYPERLINK("https://freddywills.com/pick/6872/liberty-vs-northtexas-56-ats-career-week-4.html", "Liberty +12.5 2.2% Play ")</f>
        <v xml:space="preserve">Liberty +12.5 2.2% Play </v>
      </c>
      <c r="E897" s="11">
        <v>2.2000000000000002</v>
      </c>
      <c r="F897" s="11">
        <v>-1.1000000000000001</v>
      </c>
      <c r="G897" s="11" t="s">
        <v>6</v>
      </c>
      <c r="H897" s="13">
        <v>-2200</v>
      </c>
      <c r="I897" s="14">
        <f t="shared" si="29"/>
        <v>-8.6849999999999983E-2</v>
      </c>
      <c r="J897" s="13">
        <f t="shared" si="30"/>
        <v>263491.87</v>
      </c>
    </row>
    <row r="898" spans="1:10" x14ac:dyDescent="0.25">
      <c r="A898" s="10">
        <v>43365.645833333336</v>
      </c>
      <c r="B898" s="11" t="s">
        <v>8</v>
      </c>
      <c r="C898" s="11" t="s">
        <v>5</v>
      </c>
      <c r="D898" s="16" t="str">
        <f>HYPERLINK("https://freddywills.com/pick/6873/clemson-vs-georgia-tech-guaranteed-or-back.html", "Clemson -15.5 2.2% play ")</f>
        <v xml:space="preserve">Clemson -15.5 2.2% play </v>
      </c>
      <c r="E898" s="11">
        <v>2.2000000000000002</v>
      </c>
      <c r="F898" s="11">
        <v>-1.1000000000000001</v>
      </c>
      <c r="G898" s="11" t="s">
        <v>4</v>
      </c>
      <c r="H898" s="13">
        <v>2000</v>
      </c>
      <c r="I898" s="14">
        <f t="shared" si="29"/>
        <v>-6.4849999999999977E-2</v>
      </c>
      <c r="J898" s="13">
        <f t="shared" si="30"/>
        <v>265691.87</v>
      </c>
    </row>
    <row r="899" spans="1:10" x14ac:dyDescent="0.25">
      <c r="A899" s="10">
        <v>43365.625</v>
      </c>
      <c r="B899" s="11" t="s">
        <v>8</v>
      </c>
      <c r="C899" s="11" t="s">
        <v>5</v>
      </c>
      <c r="D899" s="16" t="str">
        <f>HYPERLINK("https://freddywills.com/pick/6877/western-kentucky-vs-ball-state-pick-2-2-play.html", "Ball State -2.5 2.2% play ")</f>
        <v xml:space="preserve">Ball State -2.5 2.2% play </v>
      </c>
      <c r="E899" s="11">
        <v>2.2000000000000002</v>
      </c>
      <c r="F899" s="11">
        <v>-1.1000000000000001</v>
      </c>
      <c r="G899" s="11" t="s">
        <v>6</v>
      </c>
      <c r="H899" s="13">
        <v>-2200</v>
      </c>
      <c r="I899" s="14">
        <f t="shared" si="29"/>
        <v>-8.4849999999999981E-2</v>
      </c>
      <c r="J899" s="13">
        <f t="shared" si="30"/>
        <v>263691.87</v>
      </c>
    </row>
    <row r="900" spans="1:10" x14ac:dyDescent="0.25">
      <c r="A900" s="10">
        <v>43365.513888888891</v>
      </c>
      <c r="B900" s="11" t="s">
        <v>8</v>
      </c>
      <c r="C900" s="11" t="s">
        <v>5</v>
      </c>
      <c r="D900" s="16" t="str">
        <f>HYPERLINK("https://freddywills.com/pick/6867/33-9-ats-last-42-free-college-football-picks-saturday-s-winner.html", "North Carolina +3.5 1.1% Free Play ")</f>
        <v xml:space="preserve">North Carolina +3.5 1.1% Free Play </v>
      </c>
      <c r="E900" s="11">
        <v>1.1000000000000001</v>
      </c>
      <c r="F900" s="11">
        <v>-1.1000000000000001</v>
      </c>
      <c r="G900" s="11" t="s">
        <v>4</v>
      </c>
      <c r="H900" s="13">
        <v>1000</v>
      </c>
      <c r="I900" s="14">
        <f t="shared" si="29"/>
        <v>-6.2849999999999975E-2</v>
      </c>
      <c r="J900" s="13">
        <f t="shared" si="30"/>
        <v>265891.87</v>
      </c>
    </row>
    <row r="901" spans="1:10" x14ac:dyDescent="0.25">
      <c r="A901" s="10">
        <v>43365.5</v>
      </c>
      <c r="B901" s="11" t="s">
        <v>8</v>
      </c>
      <c r="C901" s="11" t="s">
        <v>18</v>
      </c>
      <c r="D901" s="16" t="str">
        <f>HYPERLINK("https://freddywills.com/pick/6864/money-line-dog-of-the-week-200-or-higher-guaranteed-or-back.html", "Purdue +218 2.5% Play ")</f>
        <v xml:space="preserve">Purdue +218 2.5% Play </v>
      </c>
      <c r="E901" s="11">
        <v>2.5</v>
      </c>
      <c r="F901" s="11">
        <v>2.1800000000000002</v>
      </c>
      <c r="G901" s="11" t="s">
        <v>4</v>
      </c>
      <c r="H901" s="13">
        <v>5450</v>
      </c>
      <c r="I901" s="14">
        <f t="shared" si="29"/>
        <v>-7.284999999999997E-2</v>
      </c>
      <c r="J901" s="13">
        <f t="shared" si="30"/>
        <v>264891.87</v>
      </c>
    </row>
    <row r="902" spans="1:10" x14ac:dyDescent="0.25">
      <c r="A902" s="10">
        <v>43365.5</v>
      </c>
      <c r="B902" s="11" t="s">
        <v>8</v>
      </c>
      <c r="C902" s="11" t="s">
        <v>5</v>
      </c>
      <c r="D902" s="16" t="str">
        <f>HYPERLINK("https://freddywills.com/pick/6870/ohio-vs-cinci-guaranteed-or-back-3-3-play.html", "Ohio +7.5 3.3% play ")</f>
        <v xml:space="preserve">Ohio +7.5 3.3% play </v>
      </c>
      <c r="E902" s="11">
        <v>3.3</v>
      </c>
      <c r="F902" s="11">
        <v>-1.1000000000000001</v>
      </c>
      <c r="G902" s="11" t="s">
        <v>4</v>
      </c>
      <c r="H902" s="13">
        <v>3000</v>
      </c>
      <c r="I902" s="14">
        <f t="shared" si="29"/>
        <v>-0.12734999999999996</v>
      </c>
      <c r="J902" s="13">
        <f t="shared" si="30"/>
        <v>259441.87</v>
      </c>
    </row>
    <row r="903" spans="1:10" x14ac:dyDescent="0.25">
      <c r="A903" s="10">
        <v>43365.5</v>
      </c>
      <c r="B903" s="11" t="s">
        <v>8</v>
      </c>
      <c r="C903" s="11" t="s">
        <v>7</v>
      </c>
      <c r="D903" s="16" t="str">
        <f>HYPERLINK("https://freddywills.com/pick/6874/total-play-of-the-week-guaranteed-or-back.html", "Kent St / Ole Miss Over 74 2.2% play ")</f>
        <v xml:space="preserve">Kent St / Ole Miss Over 74 2.2% play </v>
      </c>
      <c r="E903" s="11">
        <v>2.2000000000000002</v>
      </c>
      <c r="F903" s="11">
        <v>-1.1000000000000001</v>
      </c>
      <c r="G903" s="11" t="s">
        <v>6</v>
      </c>
      <c r="H903" s="13">
        <v>-2200</v>
      </c>
      <c r="I903" s="14">
        <f t="shared" si="29"/>
        <v>-0.15734999999999996</v>
      </c>
      <c r="J903" s="13">
        <f t="shared" si="30"/>
        <v>256441.87</v>
      </c>
    </row>
    <row r="904" spans="1:10" x14ac:dyDescent="0.25">
      <c r="A904" s="10">
        <v>43364.9375</v>
      </c>
      <c r="B904" s="11" t="s">
        <v>8</v>
      </c>
      <c r="C904" s="11" t="s">
        <v>5</v>
      </c>
      <c r="D904" s="16" t="str">
        <f>HYPERLINK("https://freddywills.com/pick/6865/friday-night-lights-usc-vs-washingtonst-4-play-174-131-l301-cfb-4-plays-guaranteed-or-b.html", "USC -3 -125 buy 1/2")</f>
        <v>USC -3 -125 buy 1/2</v>
      </c>
      <c r="E904" s="11">
        <v>4</v>
      </c>
      <c r="F904" s="11">
        <v>-1.25</v>
      </c>
      <c r="G904" s="11" t="s">
        <v>9</v>
      </c>
      <c r="H904" s="13">
        <v>0</v>
      </c>
      <c r="I904" s="14">
        <f t="shared" si="29"/>
        <v>-0.13534999999999997</v>
      </c>
      <c r="J904" s="13">
        <f t="shared" si="30"/>
        <v>258641.87</v>
      </c>
    </row>
    <row r="905" spans="1:10" x14ac:dyDescent="0.25">
      <c r="A905" s="10">
        <v>43364.875</v>
      </c>
      <c r="B905" s="11" t="s">
        <v>8</v>
      </c>
      <c r="C905" s="11" t="s">
        <v>5</v>
      </c>
      <c r="D905" s="16" t="str">
        <f>HYPERLINK("https://freddywills.com/pick/6866/friday-night-lights-pennst-vs-illinois-guaranteed-or-back.html", "Illinois +28 3.3% play ")</f>
        <v xml:space="preserve">Illinois +28 3.3% play </v>
      </c>
      <c r="E905" s="11">
        <v>3.3</v>
      </c>
      <c r="F905" s="11">
        <v>-1.1000000000000001</v>
      </c>
      <c r="G905" s="11" t="s">
        <v>6</v>
      </c>
      <c r="H905" s="13">
        <v>-3300</v>
      </c>
      <c r="I905" s="14">
        <f t="shared" ref="I905:I942" si="31">(H905/100000)+I906</f>
        <v>-0.13534999999999997</v>
      </c>
      <c r="J905" s="13">
        <f t="shared" ref="J905:J943" si="32">H905+J906</f>
        <v>258641.87</v>
      </c>
    </row>
    <row r="906" spans="1:10" x14ac:dyDescent="0.25">
      <c r="A906" s="10">
        <v>43359.541666666664</v>
      </c>
      <c r="B906" s="11" t="s">
        <v>2</v>
      </c>
      <c r="C906" s="11" t="s">
        <v>5</v>
      </c>
      <c r="D906" s="16" t="str">
        <f>HYPERLINK("https://freddywills.com/pick/6859/32-14-ats-career-week-2-nfl-steelers-vs-chiefs.html", "Steelers -4.5")</f>
        <v>Steelers -4.5</v>
      </c>
      <c r="E906" s="11">
        <v>3.3</v>
      </c>
      <c r="F906" s="11">
        <v>-1.1000000000000001</v>
      </c>
      <c r="G906" s="11" t="s">
        <v>6</v>
      </c>
      <c r="H906" s="13">
        <v>-3300</v>
      </c>
      <c r="I906" s="14">
        <f t="shared" si="31"/>
        <v>-0.10234999999999995</v>
      </c>
      <c r="J906" s="13">
        <f t="shared" si="32"/>
        <v>261941.87</v>
      </c>
    </row>
    <row r="907" spans="1:10" x14ac:dyDescent="0.25">
      <c r="A907" s="10">
        <v>43359.541666666664</v>
      </c>
      <c r="B907" s="11" t="s">
        <v>2</v>
      </c>
      <c r="C907" s="11" t="s">
        <v>5</v>
      </c>
      <c r="D907" s="16" t="str">
        <f>HYPERLINK("https://freddywills.com/pick/6861/nfl-pod-max-rated-32-14-ats-career-week-2-35-19-ats-l54-max-rated.html", "Titans +3 5.5% NFL POD")</f>
        <v>Titans +3 5.5% NFL POD</v>
      </c>
      <c r="E907" s="11">
        <v>5.5</v>
      </c>
      <c r="F907" s="11">
        <v>-1.1000000000000001</v>
      </c>
      <c r="G907" s="11" t="s">
        <v>4</v>
      </c>
      <c r="H907" s="13">
        <v>5000</v>
      </c>
      <c r="I907" s="14">
        <f t="shared" si="31"/>
        <v>-6.9349999999999953E-2</v>
      </c>
      <c r="J907" s="13">
        <f t="shared" si="32"/>
        <v>265241.87</v>
      </c>
    </row>
    <row r="908" spans="1:10" x14ac:dyDescent="0.25">
      <c r="A908" s="10">
        <v>43359.541666666664</v>
      </c>
      <c r="B908" s="11" t="s">
        <v>2</v>
      </c>
      <c r="C908" s="11" t="s">
        <v>5</v>
      </c>
      <c r="D908" s="16" t="str">
        <f>HYPERLINK("https://freddywills.com/pick/6862/nfl-early-bird-play-colts-vs-redskins-guaranteed-or-back.html", "Colts +6 3.3% play ")</f>
        <v xml:space="preserve">Colts +6 3.3% play </v>
      </c>
      <c r="E908" s="11">
        <v>3.3</v>
      </c>
      <c r="F908" s="11">
        <v>-1.1000000000000001</v>
      </c>
      <c r="G908" s="11" t="s">
        <v>4</v>
      </c>
      <c r="H908" s="13">
        <v>3000</v>
      </c>
      <c r="I908" s="14">
        <f t="shared" si="31"/>
        <v>-0.11934999999999996</v>
      </c>
      <c r="J908" s="13">
        <f t="shared" si="32"/>
        <v>260241.87</v>
      </c>
    </row>
    <row r="909" spans="1:10" x14ac:dyDescent="0.25">
      <c r="A909" s="10">
        <v>43359.541666666664</v>
      </c>
      <c r="B909" s="11" t="s">
        <v>2</v>
      </c>
      <c r="C909" s="11" t="s">
        <v>10</v>
      </c>
      <c r="D909" s="16" t="str">
        <f>HYPERLINK("https://freddywills.com/pick/6863/4-4-nfl-teaser-of-the-week-guaranteed-or-back.html", "Falcons pk / Giants +9 4.4% Teaser")</f>
        <v>Falcons pk / Giants +9 4.4% Teaser</v>
      </c>
      <c r="E909" s="11">
        <v>4.4000000000000004</v>
      </c>
      <c r="F909" s="11">
        <v>-1.1000000000000001</v>
      </c>
      <c r="G909" s="11" t="s">
        <v>4</v>
      </c>
      <c r="H909" s="13">
        <v>4000</v>
      </c>
      <c r="I909" s="14">
        <f t="shared" si="31"/>
        <v>-0.14934999999999996</v>
      </c>
      <c r="J909" s="13">
        <f t="shared" si="32"/>
        <v>257241.87</v>
      </c>
    </row>
    <row r="910" spans="1:10" x14ac:dyDescent="0.25">
      <c r="A910" s="10">
        <v>43358.916666666664</v>
      </c>
      <c r="B910" s="11" t="s">
        <v>8</v>
      </c>
      <c r="C910" s="11" t="s">
        <v>5</v>
      </c>
      <c r="D910" s="16" t="str">
        <f>HYPERLINK("https://freddywills.com/pick/6857/4-4-ncaaf-pod-goes-late-utah-vs-washington-guaranteed-or-back.html", "Utah +5 4.4% NCAAF POD")</f>
        <v>Utah +5 4.4% NCAAF POD</v>
      </c>
      <c r="E910" s="11">
        <v>4.4000000000000004</v>
      </c>
      <c r="F910" s="11">
        <v>-1.1000000000000001</v>
      </c>
      <c r="G910" s="11" t="s">
        <v>6</v>
      </c>
      <c r="H910" s="13">
        <v>-4400</v>
      </c>
      <c r="I910" s="14">
        <f t="shared" si="31"/>
        <v>-0.18934999999999996</v>
      </c>
      <c r="J910" s="13">
        <f t="shared" si="32"/>
        <v>253241.87</v>
      </c>
    </row>
    <row r="911" spans="1:10" x14ac:dyDescent="0.25">
      <c r="A911" s="10">
        <v>43358.666666666664</v>
      </c>
      <c r="B911" s="11" t="s">
        <v>8</v>
      </c>
      <c r="C911" s="11" t="s">
        <v>10</v>
      </c>
      <c r="D911" s="16" t="str">
        <f>HYPERLINK("https://freddywills.com/pick/6860/teaser-of-the-week-59-3-career-over-10-years-guaranteed-or-back.html", "Arkansas pk / San Diego State +11.5 4.4% Teaser")</f>
        <v>Arkansas pk / San Diego State +11.5 4.4% Teaser</v>
      </c>
      <c r="E911" s="11">
        <v>4.4000000000000004</v>
      </c>
      <c r="F911" s="11">
        <v>-1.1000000000000001</v>
      </c>
      <c r="G911" s="11" t="s">
        <v>6</v>
      </c>
      <c r="H911" s="13">
        <v>-4400</v>
      </c>
      <c r="I911" s="14">
        <f t="shared" si="31"/>
        <v>-0.14534999999999998</v>
      </c>
      <c r="J911" s="13">
        <f t="shared" si="32"/>
        <v>257641.87</v>
      </c>
    </row>
    <row r="912" spans="1:10" x14ac:dyDescent="0.25">
      <c r="A912" s="10">
        <v>43358.645833333336</v>
      </c>
      <c r="B912" s="11" t="s">
        <v>8</v>
      </c>
      <c r="C912" s="11" t="s">
        <v>5</v>
      </c>
      <c r="D912" s="16" t="str">
        <f>HYPERLINK("https://freddywills.com/pick/6850/sec-game-of-the-week-guaranteed-or-back.html", "Auburn -9.5 3.3% play")</f>
        <v>Auburn -9.5 3.3% play</v>
      </c>
      <c r="E912" s="11">
        <v>3.3</v>
      </c>
      <c r="F912" s="11">
        <v>-1.1000000000000001</v>
      </c>
      <c r="G912" s="11" t="s">
        <v>6</v>
      </c>
      <c r="H912" s="13">
        <v>-3300</v>
      </c>
      <c r="I912" s="14">
        <f t="shared" si="31"/>
        <v>-0.10135</v>
      </c>
      <c r="J912" s="13">
        <f t="shared" si="32"/>
        <v>262041.87</v>
      </c>
    </row>
    <row r="913" spans="1:10" x14ac:dyDescent="0.25">
      <c r="A913" s="10">
        <v>43358.645833333336</v>
      </c>
      <c r="B913" s="11" t="s">
        <v>8</v>
      </c>
      <c r="C913" s="11" t="s">
        <v>5</v>
      </c>
      <c r="D913" s="16" t="str">
        <f>HYPERLINK("https://freddywills.com/pick/6853/college-football-free-pick-week-3-32-9-ats-l41-free-cfb-picks.html", "SMU +36 1.1% Free Play")</f>
        <v>SMU +36 1.1% Free Play</v>
      </c>
      <c r="E913" s="11">
        <v>1.1000000000000001</v>
      </c>
      <c r="F913" s="11">
        <v>-1.1000000000000001</v>
      </c>
      <c r="G913" s="11" t="s">
        <v>4</v>
      </c>
      <c r="H913" s="13">
        <v>1000</v>
      </c>
      <c r="I913" s="14">
        <f t="shared" si="31"/>
        <v>-6.8349999999999994E-2</v>
      </c>
      <c r="J913" s="13">
        <f t="shared" si="32"/>
        <v>265341.87</v>
      </c>
    </row>
    <row r="914" spans="1:10" x14ac:dyDescent="0.25">
      <c r="A914" s="10">
        <v>43358.645833333336</v>
      </c>
      <c r="B914" s="11" t="s">
        <v>8</v>
      </c>
      <c r="C914" s="11" t="s">
        <v>5</v>
      </c>
      <c r="D914" s="16" t="str">
        <f>HYPERLINK("https://freddywills.com/pick/6854/boisestate-vs-oklahomastate-showdown-guaranteed-or-back.html", "Oklahoma State -2.5 2.2% play ")</f>
        <v xml:space="preserve">Oklahoma State -2.5 2.2% play </v>
      </c>
      <c r="E914" s="11">
        <v>2.2000000000000002</v>
      </c>
      <c r="F914" s="11">
        <v>-1.1000000000000001</v>
      </c>
      <c r="G914" s="11" t="s">
        <v>4</v>
      </c>
      <c r="H914" s="13">
        <v>2000</v>
      </c>
      <c r="I914" s="14">
        <f t="shared" si="31"/>
        <v>-7.8349999999999989E-2</v>
      </c>
      <c r="J914" s="13">
        <f t="shared" si="32"/>
        <v>264341.87</v>
      </c>
    </row>
    <row r="915" spans="1:10" x14ac:dyDescent="0.25">
      <c r="A915" s="10">
        <v>43358.645833333336</v>
      </c>
      <c r="B915" s="11" t="s">
        <v>8</v>
      </c>
      <c r="C915" s="11" t="s">
        <v>5</v>
      </c>
      <c r="D915" s="16" t="str">
        <f>HYPERLINK("https://freddywills.com/pick/6855/illinois-vs-south-florida-3-3-play-56-34-ats-career-in-week-3-cfb.html", "Illinois +10.5 3.3% play ")</f>
        <v xml:space="preserve">Illinois +10.5 3.3% play </v>
      </c>
      <c r="E915" s="11">
        <v>3.3</v>
      </c>
      <c r="F915" s="11">
        <v>-1.1000000000000001</v>
      </c>
      <c r="G915" s="11" t="s">
        <v>4</v>
      </c>
      <c r="H915" s="13">
        <v>3000</v>
      </c>
      <c r="I915" s="14">
        <f t="shared" si="31"/>
        <v>-9.8349999999999993E-2</v>
      </c>
      <c r="J915" s="13">
        <f t="shared" si="32"/>
        <v>262341.87</v>
      </c>
    </row>
    <row r="916" spans="1:10" x14ac:dyDescent="0.25">
      <c r="A916" s="10">
        <v>43358.5</v>
      </c>
      <c r="B916" s="11" t="s">
        <v>8</v>
      </c>
      <c r="C916" s="11" t="s">
        <v>5</v>
      </c>
      <c r="D916" s="16" t="str">
        <f>HYPERLINK("https://freddywills.com/pick/6849/iowa-state-vs-oklahoma-saturday-guaranteed-or-back.html", "Iowa State +17.5 3.3% play ")</f>
        <v xml:space="preserve">Iowa State +17.5 3.3% play </v>
      </c>
      <c r="E916" s="11">
        <v>3.3</v>
      </c>
      <c r="F916" s="11">
        <v>-1.1000000000000001</v>
      </c>
      <c r="G916" s="11" t="s">
        <v>4</v>
      </c>
      <c r="H916" s="13">
        <v>3000</v>
      </c>
      <c r="I916" s="14">
        <f t="shared" si="31"/>
        <v>-0.12834999999999999</v>
      </c>
      <c r="J916" s="13">
        <f t="shared" si="32"/>
        <v>259341.87</v>
      </c>
    </row>
    <row r="917" spans="1:10" x14ac:dyDescent="0.25">
      <c r="A917" s="10">
        <v>43358.5</v>
      </c>
      <c r="B917" s="11" t="s">
        <v>8</v>
      </c>
      <c r="C917" s="11" t="s">
        <v>5</v>
      </c>
      <c r="D917" s="16" t="str">
        <f>HYPERLINK("https://freddywills.com/pick/6856/middle-tennessee-vs-georgia-3-3-play-guaranteed-or-back.html", "MTSU +33 3.3% PLAY ")</f>
        <v xml:space="preserve">MTSU +33 3.3% PLAY </v>
      </c>
      <c r="E917" s="11">
        <v>2.2000000000000002</v>
      </c>
      <c r="F917" s="11">
        <v>-1.1000000000000001</v>
      </c>
      <c r="G917" s="11" t="s">
        <v>6</v>
      </c>
      <c r="H917" s="13">
        <v>-2200</v>
      </c>
      <c r="I917" s="14">
        <f t="shared" si="31"/>
        <v>-0.15834999999999999</v>
      </c>
      <c r="J917" s="13">
        <f t="shared" si="32"/>
        <v>256341.87</v>
      </c>
    </row>
    <row r="918" spans="1:10" x14ac:dyDescent="0.25">
      <c r="A918" s="10">
        <v>43358.5</v>
      </c>
      <c r="B918" s="11" t="s">
        <v>8</v>
      </c>
      <c r="C918" s="11" t="s">
        <v>5</v>
      </c>
      <c r="D918" s="16" t="str">
        <f>HYPERLINK("https://freddywills.com/pick/6858/notre-dame-vs-vanderbilt-guaranteed-or-back.html", "Vanderbilt +13.5 2.2% play ")</f>
        <v xml:space="preserve">Vanderbilt +13.5 2.2% play </v>
      </c>
      <c r="E918" s="11">
        <v>2.2000000000000002</v>
      </c>
      <c r="F918" s="11">
        <v>-1.1000000000000001</v>
      </c>
      <c r="G918" s="11" t="s">
        <v>4</v>
      </c>
      <c r="H918" s="13">
        <v>2000</v>
      </c>
      <c r="I918" s="14">
        <f t="shared" si="31"/>
        <v>-0.13635</v>
      </c>
      <c r="J918" s="13">
        <f t="shared" si="32"/>
        <v>258541.87</v>
      </c>
    </row>
    <row r="919" spans="1:10" x14ac:dyDescent="0.25">
      <c r="A919" s="10">
        <v>43356.729166666664</v>
      </c>
      <c r="B919" s="11" t="s">
        <v>8</v>
      </c>
      <c r="C919" s="11" t="s">
        <v>5</v>
      </c>
      <c r="D919" s="16" t="str">
        <f>HYPERLINK("https://freddywills.com/pick/6852/thursday-night-wakefb-vs-bcfootball-56-33-ats-career-week-3-guaranteed-or-back.html", "Wake Forest +6.5 2.2% play ")</f>
        <v xml:space="preserve">Wake Forest +6.5 2.2% play </v>
      </c>
      <c r="E919" s="11">
        <v>2.2000000000000002</v>
      </c>
      <c r="F919" s="11">
        <v>-1.1000000000000001</v>
      </c>
      <c r="G919" s="11" t="s">
        <v>6</v>
      </c>
      <c r="H919" s="13">
        <v>-2200</v>
      </c>
      <c r="I919" s="14">
        <f t="shared" si="31"/>
        <v>-0.15634999999999999</v>
      </c>
      <c r="J919" s="13">
        <f t="shared" si="32"/>
        <v>256541.87</v>
      </c>
    </row>
    <row r="920" spans="1:10" x14ac:dyDescent="0.25">
      <c r="A920" s="10">
        <v>43352.684027777781</v>
      </c>
      <c r="B920" s="11" t="s">
        <v>2</v>
      </c>
      <c r="C920" s="11" t="s">
        <v>5</v>
      </c>
      <c r="D920" s="16" t="str">
        <f>HYPERLINK("https://freddywills.com/pick/6848/4-25pm-et-nfl-pick-guaranteed-or-back.html", "Cardinals -1.5 2.2% play ")</f>
        <v xml:space="preserve">Cardinals -1.5 2.2% play </v>
      </c>
      <c r="E920" s="11">
        <v>2.2000000000000002</v>
      </c>
      <c r="F920" s="11">
        <v>-1.1000000000000001</v>
      </c>
      <c r="G920" s="11" t="s">
        <v>6</v>
      </c>
      <c r="H920" s="13">
        <v>-2200</v>
      </c>
      <c r="I920" s="14">
        <f t="shared" si="31"/>
        <v>-0.13435</v>
      </c>
      <c r="J920" s="13">
        <f t="shared" si="32"/>
        <v>258741.87</v>
      </c>
    </row>
    <row r="921" spans="1:10" x14ac:dyDescent="0.25">
      <c r="A921" s="10">
        <v>43352.541666666664</v>
      </c>
      <c r="B921" s="11" t="s">
        <v>2</v>
      </c>
      <c r="C921" s="11" t="s">
        <v>18</v>
      </c>
      <c r="D921" s="16" t="str">
        <f>HYPERLINK("https://freddywills.com/pick/6845/5-5-max-nfl-pod-guaranteed-or-back.html", "Bengals +121 5.5% POD")</f>
        <v>Bengals +121 5.5% POD</v>
      </c>
      <c r="E921" s="11">
        <v>5.5</v>
      </c>
      <c r="F921" s="11">
        <v>1.21</v>
      </c>
      <c r="G921" s="11" t="s">
        <v>4</v>
      </c>
      <c r="H921" s="13">
        <v>6655</v>
      </c>
      <c r="I921" s="14">
        <f t="shared" si="31"/>
        <v>-0.11235000000000001</v>
      </c>
      <c r="J921" s="13">
        <f t="shared" si="32"/>
        <v>260941.87</v>
      </c>
    </row>
    <row r="922" spans="1:10" x14ac:dyDescent="0.25">
      <c r="A922" s="10">
        <v>43352.541666666664</v>
      </c>
      <c r="B922" s="11" t="s">
        <v>2</v>
      </c>
      <c r="C922" s="11" t="s">
        <v>5</v>
      </c>
      <c r="D922" s="16" t="str">
        <f>HYPERLINK("https://freddywills.com/pick/6846/nfl-3-3-play-vikings-vs-49ers-guaranteed-or-back.html", "Vikings -6 3.3% play ")</f>
        <v xml:space="preserve">Vikings -6 3.3% play </v>
      </c>
      <c r="E922" s="11">
        <v>3.3</v>
      </c>
      <c r="F922" s="11">
        <v>-1.1000000000000001</v>
      </c>
      <c r="G922" s="11" t="s">
        <v>4</v>
      </c>
      <c r="H922" s="13">
        <v>3000</v>
      </c>
      <c r="I922" s="14">
        <f t="shared" si="31"/>
        <v>-0.1789</v>
      </c>
      <c r="J922" s="13">
        <f t="shared" si="32"/>
        <v>254286.87</v>
      </c>
    </row>
    <row r="923" spans="1:10" x14ac:dyDescent="0.25">
      <c r="A923" s="10">
        <v>43352.541666666664</v>
      </c>
      <c r="B923" s="11" t="s">
        <v>2</v>
      </c>
      <c r="C923" s="11" t="s">
        <v>18</v>
      </c>
      <c r="D923" s="16" t="str">
        <f>HYPERLINK("https://freddywills.com/pick/6847/dolphins-vs-titans-2-2-play-guaranteed-or-back.html", "Dolphins +105 2.2% play ")</f>
        <v xml:space="preserve">Dolphins +105 2.2% play </v>
      </c>
      <c r="E923" s="11">
        <v>2.2000000000000002</v>
      </c>
      <c r="F923" s="11">
        <v>1.05</v>
      </c>
      <c r="G923" s="11" t="s">
        <v>4</v>
      </c>
      <c r="H923" s="13">
        <v>2310</v>
      </c>
      <c r="I923" s="14">
        <f t="shared" si="31"/>
        <v>-0.2089</v>
      </c>
      <c r="J923" s="13">
        <f t="shared" si="32"/>
        <v>251286.87</v>
      </c>
    </row>
    <row r="924" spans="1:10" x14ac:dyDescent="0.25">
      <c r="A924" s="10">
        <v>43351.958333333336</v>
      </c>
      <c r="B924" s="11" t="s">
        <v>8</v>
      </c>
      <c r="C924" s="11" t="s">
        <v>5</v>
      </c>
      <c r="D924" s="16" t="str">
        <f>HYPERLINK("https://freddywills.com/pick/6836/31-9-ats-last-40-free-cfb-picks-week-2-play-saturday.html", "San Jose State +34 1.1% Free Play ")</f>
        <v xml:space="preserve">San Jose State +34 1.1% Free Play </v>
      </c>
      <c r="E924" s="11">
        <v>1.1000000000000001</v>
      </c>
      <c r="F924" s="11">
        <v>-1.1000000000000001</v>
      </c>
      <c r="G924" s="11" t="s">
        <v>4</v>
      </c>
      <c r="H924" s="13">
        <v>1000</v>
      </c>
      <c r="I924" s="14">
        <f t="shared" si="31"/>
        <v>-0.23200000000000001</v>
      </c>
      <c r="J924" s="13">
        <f t="shared" si="32"/>
        <v>248976.87</v>
      </c>
    </row>
    <row r="925" spans="1:10" x14ac:dyDescent="0.25">
      <c r="A925" s="10">
        <v>43351.813194444447</v>
      </c>
      <c r="B925" s="11" t="s">
        <v>8</v>
      </c>
      <c r="C925" s="11" t="s">
        <v>5</v>
      </c>
      <c r="D925" s="16" t="str">
        <f>HYPERLINK("https://freddywills.com/pick/6842/kentucky-vs-florida-guaranteed-w-analysis-guaranteed-or-back.html", "Kentucky +14 2.2% play ")</f>
        <v xml:space="preserve">Kentucky +14 2.2% play </v>
      </c>
      <c r="E925" s="11">
        <v>2.2000000000000002</v>
      </c>
      <c r="F925" s="11">
        <v>-1.1000000000000001</v>
      </c>
      <c r="G925" s="11" t="s">
        <v>4</v>
      </c>
      <c r="H925" s="13">
        <v>2000</v>
      </c>
      <c r="I925" s="14">
        <f t="shared" si="31"/>
        <v>-0.24200000000000002</v>
      </c>
      <c r="J925" s="13">
        <f t="shared" si="32"/>
        <v>247976.87</v>
      </c>
    </row>
    <row r="926" spans="1:10" x14ac:dyDescent="0.25">
      <c r="A926" s="10">
        <v>43351.669444444444</v>
      </c>
      <c r="B926" s="11" t="s">
        <v>8</v>
      </c>
      <c r="C926" s="11" t="s">
        <v>5</v>
      </c>
      <c r="D926" s="16" t="str">
        <f>HYPERLINK("https://freddywills.com/pick/6838/saturday-s-late-night-fix-msu-football-vs-asufootball.html", "Michigan State -6 2.2% Play")</f>
        <v>Michigan State -6 2.2% Play</v>
      </c>
      <c r="E926" s="11">
        <v>2.2000000000000002</v>
      </c>
      <c r="F926" s="11">
        <v>-1.1000000000000001</v>
      </c>
      <c r="G926" s="11" t="s">
        <v>6</v>
      </c>
      <c r="H926" s="13">
        <v>-2200</v>
      </c>
      <c r="I926" s="14">
        <f t="shared" si="31"/>
        <v>-0.26200000000000001</v>
      </c>
      <c r="J926" s="13">
        <f t="shared" si="32"/>
        <v>245976.87</v>
      </c>
    </row>
    <row r="927" spans="1:10" x14ac:dyDescent="0.25">
      <c r="A927" s="10">
        <v>43351.645833333336</v>
      </c>
      <c r="B927" s="11" t="s">
        <v>8</v>
      </c>
      <c r="C927" s="11" t="s">
        <v>5</v>
      </c>
      <c r="D927" s="16" t="str">
        <f>HYPERLINK("https://freddywills.com/pick/6840/sec-game-of-the-week-georgia-vs-southcarolina-guaranteed-or-back.html", "South Carolina +10 2.2% play ")</f>
        <v xml:space="preserve">South Carolina +10 2.2% play </v>
      </c>
      <c r="E927" s="11">
        <v>2.2000000000000002</v>
      </c>
      <c r="F927" s="11">
        <v>-1.1000000000000001</v>
      </c>
      <c r="G927" s="11" t="s">
        <v>6</v>
      </c>
      <c r="H927" s="13">
        <v>-2200</v>
      </c>
      <c r="I927" s="14">
        <f t="shared" si="31"/>
        <v>-0.24</v>
      </c>
      <c r="J927" s="13">
        <f t="shared" si="32"/>
        <v>248176.87</v>
      </c>
    </row>
    <row r="928" spans="1:10" x14ac:dyDescent="0.25">
      <c r="A928" s="10">
        <v>43351.645833333336</v>
      </c>
      <c r="B928" s="11" t="s">
        <v>8</v>
      </c>
      <c r="C928" s="11" t="s">
        <v>5</v>
      </c>
      <c r="D928" s="16" t="str">
        <f>HYPERLINK("https://freddywills.com/pick/6844/umass-vs-ga-southern-guaranteed-or-back.html", "UMass +2.5 3.3% play")</f>
        <v>UMass +2.5 3.3% play</v>
      </c>
      <c r="E928" s="11">
        <v>3.3</v>
      </c>
      <c r="F928" s="11">
        <v>-1.1000000000000001</v>
      </c>
      <c r="G928" s="11" t="s">
        <v>6</v>
      </c>
      <c r="H928" s="13">
        <v>-3300</v>
      </c>
      <c r="I928" s="14">
        <f t="shared" si="31"/>
        <v>-0.218</v>
      </c>
      <c r="J928" s="13">
        <f t="shared" si="32"/>
        <v>250376.87</v>
      </c>
    </row>
    <row r="929" spans="1:10" x14ac:dyDescent="0.25">
      <c r="A929" s="10">
        <v>43351.5</v>
      </c>
      <c r="B929" s="11" t="s">
        <v>8</v>
      </c>
      <c r="C929" s="11" t="s">
        <v>10</v>
      </c>
      <c r="D929" s="16" t="str">
        <f>HYPERLINK("https://freddywills.com/pick/6839/college-football-teaser-of-the-week-58-9-career-winners-guaranteed-or-back.html", "Duke +8.5 / Stanford +0.5 4.4% Teaser of the Week")</f>
        <v>Duke +8.5 / Stanford +0.5 4.4% Teaser of the Week</v>
      </c>
      <c r="E929" s="11">
        <v>4.4000000000000004</v>
      </c>
      <c r="F929" s="11">
        <v>-1.1000000000000001</v>
      </c>
      <c r="G929" s="11" t="s">
        <v>4</v>
      </c>
      <c r="H929" s="13">
        <v>4000</v>
      </c>
      <c r="I929" s="14">
        <f t="shared" si="31"/>
        <v>-0.185</v>
      </c>
      <c r="J929" s="13">
        <f t="shared" si="32"/>
        <v>253676.87</v>
      </c>
    </row>
    <row r="930" spans="1:10" x14ac:dyDescent="0.25">
      <c r="A930" s="10">
        <v>43351.5</v>
      </c>
      <c r="B930" s="11" t="s">
        <v>8</v>
      </c>
      <c r="C930" s="11" t="s">
        <v>5</v>
      </c>
      <c r="D930" s="16" t="str">
        <f>HYPERLINK("https://freddywills.com/pick/6841/georgia-tech-vs-south-florida-guaranteed-or-back.html", "Georgia Tech -3.5 2.2% play ")</f>
        <v xml:space="preserve">Georgia Tech -3.5 2.2% play </v>
      </c>
      <c r="E930" s="11">
        <v>2.2000000000000002</v>
      </c>
      <c r="F930" s="11">
        <v>-1.1000000000000001</v>
      </c>
      <c r="G930" s="11" t="s">
        <v>6</v>
      </c>
      <c r="H930" s="13">
        <v>-2200</v>
      </c>
      <c r="I930" s="14">
        <f t="shared" si="31"/>
        <v>-0.22500000000000001</v>
      </c>
      <c r="J930" s="13">
        <f t="shared" si="32"/>
        <v>249676.87</v>
      </c>
    </row>
    <row r="931" spans="1:10" x14ac:dyDescent="0.25">
      <c r="A931" s="10">
        <v>43351.5</v>
      </c>
      <c r="B931" s="11" t="s">
        <v>8</v>
      </c>
      <c r="C931" s="11" t="s">
        <v>5</v>
      </c>
      <c r="D931" s="16" t="str">
        <f>HYPERLINK("https://freddywills.com/pick/6843/4-4-ncaaf-pod-goes-early-saturday.html", "Nevada +8.5 4.4% pod")</f>
        <v>Nevada +8.5 4.4% pod</v>
      </c>
      <c r="E931" s="11">
        <v>4.4000000000000004</v>
      </c>
      <c r="F931" s="11">
        <v>-1.1000000000000001</v>
      </c>
      <c r="G931" s="11" t="s">
        <v>6</v>
      </c>
      <c r="H931" s="13">
        <v>-4400</v>
      </c>
      <c r="I931" s="14">
        <f t="shared" si="31"/>
        <v>-0.20300000000000001</v>
      </c>
      <c r="J931" s="13">
        <f t="shared" si="32"/>
        <v>251876.87</v>
      </c>
    </row>
    <row r="932" spans="1:10" x14ac:dyDescent="0.25">
      <c r="A932" s="10">
        <v>43346.833333333336</v>
      </c>
      <c r="B932" s="11" t="s">
        <v>8</v>
      </c>
      <c r="C932" s="11" t="s">
        <v>5</v>
      </c>
      <c r="D932" s="16" t="str">
        <f>HYPERLINK("https://freddywills.com/pick/6835/florida-state-vs-virginia-tech-guaranteed-or-back.html", "Florida State -7 2.2% play ")</f>
        <v xml:space="preserve">Florida State -7 2.2% play </v>
      </c>
      <c r="E932" s="11">
        <v>2.2000000000000002</v>
      </c>
      <c r="F932" s="11">
        <v>-1.1000000000000001</v>
      </c>
      <c r="G932" s="11" t="s">
        <v>6</v>
      </c>
      <c r="H932" s="13">
        <v>-2200</v>
      </c>
      <c r="I932" s="14">
        <f t="shared" si="31"/>
        <v>-0.159</v>
      </c>
      <c r="J932" s="13">
        <f t="shared" si="32"/>
        <v>256276.87</v>
      </c>
    </row>
    <row r="933" spans="1:10" x14ac:dyDescent="0.25">
      <c r="A933" s="10">
        <v>43344.958333333336</v>
      </c>
      <c r="B933" s="11" t="s">
        <v>8</v>
      </c>
      <c r="C933" s="11" t="s">
        <v>5</v>
      </c>
      <c r="D933" s="16" t="str">
        <f>HYPERLINK("https://freddywills.com/pick/6832/saturday-late-night-fix-58-career-winners-ats-backing-this-team-guaranteed-or-back.html", "Navy -10 3.3% play ")</f>
        <v xml:space="preserve">Navy -10 3.3% play </v>
      </c>
      <c r="E933" s="11">
        <v>3.3</v>
      </c>
      <c r="F933" s="11">
        <v>-1.1000000000000001</v>
      </c>
      <c r="G933" s="11" t="s">
        <v>6</v>
      </c>
      <c r="H933" s="13">
        <v>-3300</v>
      </c>
      <c r="I933" s="14">
        <f t="shared" si="31"/>
        <v>-0.13700000000000001</v>
      </c>
      <c r="J933" s="13">
        <f t="shared" si="32"/>
        <v>258476.87</v>
      </c>
    </row>
    <row r="934" spans="1:10" x14ac:dyDescent="0.25">
      <c r="A934" s="10">
        <v>43344.8125</v>
      </c>
      <c r="B934" s="11" t="s">
        <v>8</v>
      </c>
      <c r="C934" s="11" t="s">
        <v>5</v>
      </c>
      <c r="D934" s="16" t="str">
        <f>HYPERLINK("https://freddywills.com/pick/6826/notre-dame-vs-michigan-premium-play-guaranteed-or-back-3-3-play.html", "Michigan +1.5 3.3% play ")</f>
        <v xml:space="preserve">Michigan +1.5 3.3% play </v>
      </c>
      <c r="E934" s="11">
        <v>3.3</v>
      </c>
      <c r="F934" s="11">
        <v>-1.1000000000000001</v>
      </c>
      <c r="G934" s="11" t="s">
        <v>6</v>
      </c>
      <c r="H934" s="13">
        <v>-3300</v>
      </c>
      <c r="I934" s="14">
        <f t="shared" si="31"/>
        <v>-0.10400000000000001</v>
      </c>
      <c r="J934" s="13">
        <f t="shared" si="32"/>
        <v>261776.87</v>
      </c>
    </row>
    <row r="935" spans="1:10" x14ac:dyDescent="0.25">
      <c r="A935" s="10">
        <v>43344.666666666664</v>
      </c>
      <c r="B935" s="11" t="s">
        <v>8</v>
      </c>
      <c r="C935" s="11" t="s">
        <v>7</v>
      </c>
      <c r="D935" s="16" t="str">
        <f>HYPERLINK("https://freddywills.com/pick/6831/saturday-s-total-fix-63-winner-9-years-on-totals-in-september.html", "UNLV/USC Under 64 2.2% play ")</f>
        <v xml:space="preserve">UNLV/USC Under 64 2.2% play </v>
      </c>
      <c r="E935" s="11">
        <v>2.2000000000000002</v>
      </c>
      <c r="F935" s="11">
        <v>-1.1000000000000001</v>
      </c>
      <c r="G935" s="11" t="s">
        <v>9</v>
      </c>
      <c r="H935" s="13">
        <v>0</v>
      </c>
      <c r="I935" s="14">
        <f t="shared" si="31"/>
        <v>-7.1000000000000008E-2</v>
      </c>
      <c r="J935" s="13">
        <f t="shared" si="32"/>
        <v>265076.87</v>
      </c>
    </row>
    <row r="936" spans="1:10" x14ac:dyDescent="0.25">
      <c r="A936" s="10">
        <v>43344.645833333336</v>
      </c>
      <c r="B936" s="11" t="s">
        <v>8</v>
      </c>
      <c r="C936" s="11" t="s">
        <v>18</v>
      </c>
      <c r="D936" s="16" t="str">
        <f>HYPERLINK("https://freddywills.com/pick/6825/5-5-max-ncaaf-pod-69-46-last-115-ncaaf-pod-s-guaranteed-or-back-only-at-freddywills-com.html", "Miami Ohio +120 5.5% NCAAF POD")</f>
        <v>Miami Ohio +120 5.5% NCAAF POD</v>
      </c>
      <c r="E936" s="11">
        <v>5.5</v>
      </c>
      <c r="F936" s="11">
        <v>1.2</v>
      </c>
      <c r="G936" s="11" t="s">
        <v>6</v>
      </c>
      <c r="H936" s="13">
        <v>-5500</v>
      </c>
      <c r="I936" s="14">
        <f t="shared" si="31"/>
        <v>-7.1000000000000008E-2</v>
      </c>
      <c r="J936" s="13">
        <f t="shared" si="32"/>
        <v>265076.87</v>
      </c>
    </row>
    <row r="937" spans="1:10" x14ac:dyDescent="0.25">
      <c r="A937" s="10">
        <v>43344.645833333336</v>
      </c>
      <c r="B937" s="11" t="s">
        <v>8</v>
      </c>
      <c r="C937" s="11" t="s">
        <v>5</v>
      </c>
      <c r="D937" s="16" t="str">
        <f>HYPERLINK("https://freddywills.com/pick/6828/app-state-vs-penn-state-premium-play-analysis-guaranteed-or-back.html", "APP State +24 2.2% play ")</f>
        <v xml:space="preserve">APP State +24 2.2% play </v>
      </c>
      <c r="E937" s="11">
        <v>2.2000000000000002</v>
      </c>
      <c r="F937" s="11">
        <v>-1.1000000000000001</v>
      </c>
      <c r="G937" s="11" t="s">
        <v>4</v>
      </c>
      <c r="H937" s="13">
        <v>2000</v>
      </c>
      <c r="I937" s="14">
        <f t="shared" si="31"/>
        <v>-1.6000000000000004E-2</v>
      </c>
      <c r="J937" s="13">
        <f t="shared" si="32"/>
        <v>270576.87</v>
      </c>
    </row>
    <row r="938" spans="1:10" x14ac:dyDescent="0.25">
      <c r="A938" s="10">
        <v>43344.645833333336</v>
      </c>
      <c r="B938" s="11" t="s">
        <v>8</v>
      </c>
      <c r="C938" s="11" t="s">
        <v>18</v>
      </c>
      <c r="D938" s="16" t="str">
        <f>HYPERLINK("https://freddywills.com/pick/6834/washington-vs-auburn-pick-analysis-guaranteed-or-back.html", "Washington +123 2% ML Dog Play")</f>
        <v>Washington +123 2% ML Dog Play</v>
      </c>
      <c r="E938" s="11">
        <v>2</v>
      </c>
      <c r="F938" s="11">
        <v>1.23</v>
      </c>
      <c r="G938" s="11" t="s">
        <v>6</v>
      </c>
      <c r="H938" s="13">
        <v>-2000</v>
      </c>
      <c r="I938" s="14">
        <f t="shared" si="31"/>
        <v>-3.6000000000000004E-2</v>
      </c>
      <c r="J938" s="13">
        <f t="shared" si="32"/>
        <v>268576.87</v>
      </c>
    </row>
    <row r="939" spans="1:10" x14ac:dyDescent="0.25">
      <c r="A939" s="10">
        <v>43344.541666666664</v>
      </c>
      <c r="B939" s="11" t="s">
        <v>8</v>
      </c>
      <c r="C939" s="11" t="s">
        <v>5</v>
      </c>
      <c r="D939" s="16" t="str">
        <f>HYPERLINK("https://freddywills.com/pick/6827/3-3-play-203-167-ats-career-cfb-in-september-overall-85-626-12.html", "Umass +18 3.3% play ")</f>
        <v xml:space="preserve">Umass +18 3.3% play </v>
      </c>
      <c r="E939" s="11">
        <v>3.3</v>
      </c>
      <c r="F939" s="11">
        <v>-1.1000000000000001</v>
      </c>
      <c r="G939" s="11" t="s">
        <v>6</v>
      </c>
      <c r="H939" s="13">
        <v>-3300</v>
      </c>
      <c r="I939" s="14">
        <f t="shared" si="31"/>
        <v>-1.6E-2</v>
      </c>
      <c r="J939" s="13">
        <f t="shared" si="32"/>
        <v>270576.87</v>
      </c>
    </row>
    <row r="940" spans="1:10" x14ac:dyDescent="0.25">
      <c r="A940" s="10">
        <v>43344.5</v>
      </c>
      <c r="B940" s="11" t="s">
        <v>8</v>
      </c>
      <c r="C940" s="11" t="s">
        <v>5</v>
      </c>
      <c r="D940" s="16" t="str">
        <f>HYPERLINK("https://freddywills.com/pick/6824/23-9-ats-l2-seasons-on-free-picks-ou-football-vs-fau-football-in-depth-writeup.html", "Oklahoma -20.5 1.1% Free Play ")</f>
        <v xml:space="preserve">Oklahoma -20.5 1.1% Free Play </v>
      </c>
      <c r="E940" s="11">
        <v>1.1000000000000001</v>
      </c>
      <c r="F940" s="11">
        <v>-1.1000000000000001</v>
      </c>
      <c r="G940" s="11" t="s">
        <v>4</v>
      </c>
      <c r="H940" s="13">
        <v>1000</v>
      </c>
      <c r="I940" s="14">
        <f t="shared" si="31"/>
        <v>1.7000000000000001E-2</v>
      </c>
      <c r="J940" s="13">
        <f t="shared" si="32"/>
        <v>273876.87</v>
      </c>
    </row>
    <row r="941" spans="1:10" x14ac:dyDescent="0.25">
      <c r="A941" s="10">
        <v>43343.791666666664</v>
      </c>
      <c r="B941" s="11" t="s">
        <v>8</v>
      </c>
      <c r="C941" s="11" t="s">
        <v>7</v>
      </c>
      <c r="D941" s="16" t="str">
        <f>HYPERLINK("https://freddywills.com/pick/6829/203-172-ats-l375-picks-in-august-40-114-friday-night-s-total-play-guaranteed-or-back.html", "Army/Duke Under 45.5 2.2% Play ")</f>
        <v xml:space="preserve">Army/Duke Under 45.5 2.2% Play </v>
      </c>
      <c r="E941" s="11">
        <v>2.2000000000000002</v>
      </c>
      <c r="F941" s="11">
        <v>-1.1000000000000001</v>
      </c>
      <c r="G941" s="11" t="s">
        <v>6</v>
      </c>
      <c r="H941" s="13">
        <v>-2200</v>
      </c>
      <c r="I941" s="14">
        <f t="shared" si="31"/>
        <v>7.0000000000000027E-3</v>
      </c>
      <c r="J941" s="13">
        <f t="shared" si="32"/>
        <v>272876.87</v>
      </c>
    </row>
    <row r="942" spans="1:10" x14ac:dyDescent="0.25">
      <c r="A942" s="10">
        <v>43343.75</v>
      </c>
      <c r="B942" s="11" t="s">
        <v>8</v>
      </c>
      <c r="C942" s="11" t="s">
        <v>5</v>
      </c>
      <c r="D942" s="16" t="str">
        <f>HYPERLINK("https://freddywills.com/pick/6830/friday-night-lights-cusefootball-vs-wmu-football-guaranteed-or-back.html", "Syracuse -5 2.2% play ")</f>
        <v xml:space="preserve">Syracuse -5 2.2% play </v>
      </c>
      <c r="E942" s="11">
        <v>2.2000000000000002</v>
      </c>
      <c r="F942" s="11">
        <v>-1.1000000000000001</v>
      </c>
      <c r="G942" s="11" t="s">
        <v>4</v>
      </c>
      <c r="H942" s="13">
        <v>2000</v>
      </c>
      <c r="I942" s="14">
        <f t="shared" si="31"/>
        <v>2.9000000000000001E-2</v>
      </c>
      <c r="J942" s="13">
        <f t="shared" si="32"/>
        <v>275076.87</v>
      </c>
    </row>
    <row r="943" spans="1:10" x14ac:dyDescent="0.25">
      <c r="A943" s="10">
        <v>43342.833333333336</v>
      </c>
      <c r="B943" s="11" t="s">
        <v>8</v>
      </c>
      <c r="C943" s="11" t="s">
        <v>5</v>
      </c>
      <c r="D943" s="16" t="str">
        <f>HYPERLINK("https://freddywills.com/pick/6822/northwestern-vs-purdue-big-ten-play-of-the-day-75k-in-cfb-picks-in-september.html", "Northwestern +1.5 2.2% play")</f>
        <v>Northwestern +1.5 2.2% play</v>
      </c>
      <c r="E943" s="11">
        <v>2.2000000000000002</v>
      </c>
      <c r="F943" s="11">
        <v>-1.1000000000000001</v>
      </c>
      <c r="G943" s="11" t="s">
        <v>4</v>
      </c>
      <c r="H943" s="13">
        <v>2000</v>
      </c>
      <c r="I943" s="14">
        <f t="shared" ref="I943:I945" si="33">(H943/100000)+I944</f>
        <v>9.0000000000000011E-3</v>
      </c>
      <c r="J943" s="13">
        <f t="shared" si="32"/>
        <v>273076.87</v>
      </c>
    </row>
    <row r="944" spans="1:10" x14ac:dyDescent="0.25">
      <c r="A944" s="10">
        <v>43342.833333333336</v>
      </c>
      <c r="B944" s="11" t="s">
        <v>8</v>
      </c>
      <c r="C944" s="11" t="s">
        <v>5</v>
      </c>
      <c r="D944" s="16" t="str">
        <f>HYPERLINK("https://freddywills.com/pick/6823/3-3-play-wake-forest-vs-tulane-guaranteed-or-back-65-9-ats-since-2011-season-in-september.html", "Wake Forest -6 3.3% play ")</f>
        <v xml:space="preserve">Wake Forest -6 3.3% play </v>
      </c>
      <c r="E944" s="11">
        <v>3.3</v>
      </c>
      <c r="F944" s="11">
        <v>-1.1000000000000001</v>
      </c>
      <c r="G944" s="11" t="s">
        <v>9</v>
      </c>
      <c r="H944" s="13">
        <v>0</v>
      </c>
      <c r="I944" s="14">
        <f t="shared" si="33"/>
        <v>-1.0999999999999999E-2</v>
      </c>
      <c r="J944" s="13">
        <f>H944+J945</f>
        <v>271076.87</v>
      </c>
    </row>
    <row r="945" spans="1:10" x14ac:dyDescent="0.25">
      <c r="A945" s="10">
        <v>43337.916666666664</v>
      </c>
      <c r="B945" s="11" t="s">
        <v>8</v>
      </c>
      <c r="C945" s="11" t="s">
        <v>5</v>
      </c>
      <c r="D945" s="16" t="str">
        <f>HYPERLINK("https://freddywills.com/pick/6821/college-football-free-pick-23-8-ats-last-2-years-on-free-picks.html", "New Mexico State +4.5 1.1% Free Play - 23-8 ATS L2 seasons! ")</f>
        <v xml:space="preserve">New Mexico State +4.5 1.1% Free Play - 23-8 ATS L2 seasons! </v>
      </c>
      <c r="E945" s="11">
        <v>1.1000000000000001</v>
      </c>
      <c r="F945" s="11">
        <v>-1.1000000000000001</v>
      </c>
      <c r="G945" s="11" t="s">
        <v>6</v>
      </c>
      <c r="H945" s="13">
        <v>-1100</v>
      </c>
      <c r="I945" s="14">
        <f>H945/100000</f>
        <v>-1.0999999999999999E-2</v>
      </c>
      <c r="J945" s="13">
        <f>H945+J948</f>
        <v>271076.87</v>
      </c>
    </row>
    <row r="946" spans="1:10" x14ac:dyDescent="0.25">
      <c r="A946" s="17" t="s">
        <v>22</v>
      </c>
      <c r="B946" s="18"/>
      <c r="C946" s="18"/>
      <c r="D946" s="18"/>
      <c r="E946" s="18"/>
      <c r="F946" s="18"/>
      <c r="G946" s="18"/>
      <c r="H946" s="18"/>
      <c r="I946" s="19">
        <v>100000</v>
      </c>
      <c r="J946" s="17"/>
    </row>
    <row r="947" spans="1:10" x14ac:dyDescent="0.25">
      <c r="A947" s="8" t="s">
        <v>25</v>
      </c>
      <c r="B947" s="9"/>
      <c r="C947" s="9"/>
      <c r="D947" s="9"/>
      <c r="E947" s="9"/>
      <c r="F947" s="9"/>
      <c r="G947" s="9"/>
      <c r="H947" s="9"/>
      <c r="I947" s="9"/>
      <c r="J947" s="9"/>
    </row>
    <row r="948" spans="1:10" x14ac:dyDescent="0.25">
      <c r="A948" s="10">
        <v>43135.770833333336</v>
      </c>
      <c r="B948" s="11" t="s">
        <v>2</v>
      </c>
      <c r="C948" s="11" t="s">
        <v>5</v>
      </c>
      <c r="D948" s="16" t="str">
        <f>HYPERLINK("https://freddywills.com/pick/6818/super-bowl-5-5-max-nfl-pod-30-16-last-46-max-rated-nfl-pods.html", "Patriots -4 5.5% NFL POD")</f>
        <v>Patriots -4 5.5% NFL POD</v>
      </c>
      <c r="E948" s="11">
        <v>5.5</v>
      </c>
      <c r="F948" s="11">
        <v>-1.1000000000000001</v>
      </c>
      <c r="G948" s="11" t="s">
        <v>6</v>
      </c>
      <c r="H948" s="13">
        <v>-5500</v>
      </c>
      <c r="I948" s="14">
        <f t="shared" ref="I948:I1011" si="34">(H948/100000)+I949</f>
        <v>-0.49700410000000023</v>
      </c>
      <c r="J948" s="13">
        <f t="shared" ref="J948:J1011" si="35">H948+J949</f>
        <v>272176.87</v>
      </c>
    </row>
    <row r="949" spans="1:10" x14ac:dyDescent="0.25">
      <c r="A949" s="10">
        <v>43135.770833333336</v>
      </c>
      <c r="B949" s="11" t="s">
        <v>2</v>
      </c>
      <c r="C949" s="11" t="s">
        <v>3</v>
      </c>
      <c r="D949" s="16" t="str">
        <f>HYPERLINK("https://freddywills.com/pick/6819/super-bowl-prop-play.html", "Tom Brady Super Bowl MVP -120 2.5% ")</f>
        <v xml:space="preserve">Tom Brady Super Bowl MVP -120 2.5% </v>
      </c>
      <c r="E949" s="11">
        <v>2.5</v>
      </c>
      <c r="F949" s="11">
        <v>-120</v>
      </c>
      <c r="G949" s="11" t="s">
        <v>6</v>
      </c>
      <c r="H949" s="13">
        <v>-2500</v>
      </c>
      <c r="I949" s="14">
        <f t="shared" si="34"/>
        <v>-0.44200410000000023</v>
      </c>
      <c r="J949" s="13">
        <f t="shared" si="35"/>
        <v>277676.87</v>
      </c>
    </row>
    <row r="950" spans="1:10" x14ac:dyDescent="0.25">
      <c r="A950" s="10">
        <v>43121.777777777781</v>
      </c>
      <c r="B950" s="11" t="s">
        <v>2</v>
      </c>
      <c r="C950" s="11" t="s">
        <v>5</v>
      </c>
      <c r="D950" s="16" t="str">
        <f>HYPERLINK("https://freddywills.com/pick/6816/5-5-nfl-pod-guaranteed-or-back-eagles-vs-vikings-33-18-l51-max-rated-nfl.html", "Eagles +3 -1.05 5.5% NFL POD")</f>
        <v>Eagles +3 -1.05 5.5% NFL POD</v>
      </c>
      <c r="E950" s="11">
        <v>5.5</v>
      </c>
      <c r="F950" s="11">
        <v>-1.05</v>
      </c>
      <c r="G950" s="11" t="s">
        <v>4</v>
      </c>
      <c r="H950" s="13">
        <v>5238.1000000000004</v>
      </c>
      <c r="I950" s="14">
        <f t="shared" si="34"/>
        <v>-0.41700410000000021</v>
      </c>
      <c r="J950" s="13">
        <f t="shared" si="35"/>
        <v>280176.87</v>
      </c>
    </row>
    <row r="951" spans="1:10" x14ac:dyDescent="0.25">
      <c r="A951" s="10">
        <v>43121.628472222219</v>
      </c>
      <c r="B951" s="11" t="s">
        <v>2</v>
      </c>
      <c r="C951" s="11" t="s">
        <v>5</v>
      </c>
      <c r="D951" s="16" t="str">
        <f>HYPERLINK("https://freddywills.com/pick/6817/patriots-vs-jaguars-guaranteed-or-back-21-11-ats-l32-nfl-picks-in-january.html", "Jaguars +8.5 3.3% play")</f>
        <v>Jaguars +8.5 3.3% play</v>
      </c>
      <c r="E951" s="11">
        <v>3.3</v>
      </c>
      <c r="F951" s="11">
        <v>-1.1000000000000001</v>
      </c>
      <c r="G951" s="11" t="s">
        <v>4</v>
      </c>
      <c r="H951" s="13">
        <v>3000</v>
      </c>
      <c r="I951" s="14">
        <f t="shared" si="34"/>
        <v>-0.46938510000000022</v>
      </c>
      <c r="J951" s="13">
        <f t="shared" si="35"/>
        <v>274938.77</v>
      </c>
    </row>
    <row r="952" spans="1:10" x14ac:dyDescent="0.25">
      <c r="A952" s="10">
        <v>43114.690972222219</v>
      </c>
      <c r="B952" s="11" t="s">
        <v>2</v>
      </c>
      <c r="C952" s="11" t="s">
        <v>5</v>
      </c>
      <c r="D952" s="16" t="str">
        <f>HYPERLINK("https://freddywills.com/pick/6815/vikings-vs-saints-guaranteed-or-back.html", "Vikings -5 3.3% play")</f>
        <v>Vikings -5 3.3% play</v>
      </c>
      <c r="E952" s="11">
        <v>3.3</v>
      </c>
      <c r="F952" s="11">
        <v>-1.1000000000000001</v>
      </c>
      <c r="G952" s="11" t="s">
        <v>9</v>
      </c>
      <c r="H952" s="13">
        <v>0</v>
      </c>
      <c r="I952" s="14">
        <f t="shared" si="34"/>
        <v>-0.49938510000000019</v>
      </c>
      <c r="J952" s="13">
        <f t="shared" si="35"/>
        <v>271938.77</v>
      </c>
    </row>
    <row r="953" spans="1:10" x14ac:dyDescent="0.25">
      <c r="A953" s="10">
        <v>43114.541666666664</v>
      </c>
      <c r="B953" s="11" t="s">
        <v>2</v>
      </c>
      <c r="C953" s="11" t="s">
        <v>5</v>
      </c>
      <c r="D953" s="16" t="str">
        <f>HYPERLINK("https://freddywills.com/pick/6814/4-4-nfl-pod-steelers-vs-jaguars.html", "Jaguars +7 4.4% NFL POD")</f>
        <v>Jaguars +7 4.4% NFL POD</v>
      </c>
      <c r="E953" s="11">
        <v>4.4000000000000004</v>
      </c>
      <c r="F953" s="11">
        <v>-1.1000000000000001</v>
      </c>
      <c r="G953" s="11" t="s">
        <v>4</v>
      </c>
      <c r="H953" s="13">
        <v>4000</v>
      </c>
      <c r="I953" s="14">
        <f t="shared" si="34"/>
        <v>-0.49938510000000019</v>
      </c>
      <c r="J953" s="13">
        <f t="shared" si="35"/>
        <v>271938.77</v>
      </c>
    </row>
    <row r="954" spans="1:10" x14ac:dyDescent="0.25">
      <c r="A954" s="10">
        <v>43113.84375</v>
      </c>
      <c r="B954" s="11" t="s">
        <v>2</v>
      </c>
      <c r="C954" s="11" t="s">
        <v>5</v>
      </c>
      <c r="D954" s="16" t="str">
        <f>HYPERLINK("https://freddywills.com/pick/6812/patriots-vs-titans-guaranteed-or-back.html", "Patriots -13 2.2% play")</f>
        <v>Patriots -13 2.2% play</v>
      </c>
      <c r="E954" s="11">
        <v>2.2000000000000002</v>
      </c>
      <c r="F954" s="11">
        <v>-1.1000000000000001</v>
      </c>
      <c r="G954" s="11" t="s">
        <v>4</v>
      </c>
      <c r="H954" s="13">
        <v>2000</v>
      </c>
      <c r="I954" s="14">
        <f t="shared" si="34"/>
        <v>-0.53938510000000017</v>
      </c>
      <c r="J954" s="13">
        <f t="shared" si="35"/>
        <v>267938.77</v>
      </c>
    </row>
    <row r="955" spans="1:10" x14ac:dyDescent="0.25">
      <c r="A955" s="10">
        <v>43113.690972222219</v>
      </c>
      <c r="B955" s="11" t="s">
        <v>2</v>
      </c>
      <c r="C955" s="11" t="s">
        <v>5</v>
      </c>
      <c r="D955" s="16" t="str">
        <f>HYPERLINK("https://freddywills.com/pick/6811/5-5-nfl-max-pod-32-18-l50-max-nfl-pod-s-guaranteed-or-back.html", "Eagles +3 5.5% NFL POD")</f>
        <v>Eagles +3 5.5% NFL POD</v>
      </c>
      <c r="E955" s="11">
        <v>5.5</v>
      </c>
      <c r="F955" s="11">
        <v>-1.1000000000000001</v>
      </c>
      <c r="G955" s="11" t="s">
        <v>4</v>
      </c>
      <c r="H955" s="13">
        <v>5000</v>
      </c>
      <c r="I955" s="14">
        <f t="shared" si="34"/>
        <v>-0.55938510000000019</v>
      </c>
      <c r="J955" s="13">
        <f t="shared" si="35"/>
        <v>265938.77</v>
      </c>
    </row>
    <row r="956" spans="1:10" x14ac:dyDescent="0.25">
      <c r="A956" s="10">
        <v>43108.864583333336</v>
      </c>
      <c r="B956" s="11" t="s">
        <v>8</v>
      </c>
      <c r="C956" s="11" t="s">
        <v>5</v>
      </c>
      <c r="D956" s="16" t="str">
        <f>HYPERLINK("https://freddywills.com/pick/6806/5-5-ncaaf-pod-7-1-ats-career-in-championship-game.html", "Georgia +4 5.5% POD")</f>
        <v>Georgia +4 5.5% POD</v>
      </c>
      <c r="E956" s="11">
        <v>5.5</v>
      </c>
      <c r="F956" s="11">
        <v>-1.1000000000000001</v>
      </c>
      <c r="G956" s="11" t="s">
        <v>4</v>
      </c>
      <c r="H956" s="13">
        <v>5000</v>
      </c>
      <c r="I956" s="14">
        <f t="shared" si="34"/>
        <v>-0.60938510000000023</v>
      </c>
      <c r="J956" s="13">
        <f t="shared" si="35"/>
        <v>260938.77000000002</v>
      </c>
    </row>
    <row r="957" spans="1:10" x14ac:dyDescent="0.25">
      <c r="A957" s="10">
        <v>43107.541666666664</v>
      </c>
      <c r="B957" s="11" t="s">
        <v>2</v>
      </c>
      <c r="C957" s="11" t="s">
        <v>5</v>
      </c>
      <c r="D957" s="16" t="str">
        <f>HYPERLINK("https://freddywills.com/pick/6810/nfl-teaser-of-the-week-sunday-guaranteed-or-back.html", "Jaguars -2.5 / Saints -0.5 3.3% play ")</f>
        <v xml:space="preserve">Jaguars -2.5 / Saints -0.5 3.3% play </v>
      </c>
      <c r="E957" s="11">
        <v>3.3</v>
      </c>
      <c r="F957" s="11">
        <v>-1.1000000000000001</v>
      </c>
      <c r="G957" s="11" t="s">
        <v>4</v>
      </c>
      <c r="H957" s="13">
        <v>3000</v>
      </c>
      <c r="I957" s="14">
        <f t="shared" si="34"/>
        <v>-0.65938510000000028</v>
      </c>
      <c r="J957" s="13">
        <f t="shared" si="35"/>
        <v>255938.77000000002</v>
      </c>
    </row>
    <row r="958" spans="1:10" x14ac:dyDescent="0.25">
      <c r="A958" s="10">
        <v>43106.84375</v>
      </c>
      <c r="B958" s="11" t="s">
        <v>2</v>
      </c>
      <c r="C958" s="11" t="s">
        <v>5</v>
      </c>
      <c r="D958" s="16" t="str">
        <f>HYPERLINK("https://freddywills.com/pick/6809/rams-vs-falcons-2-2-play-guaranteed-or-back.html", "Rams -6 2.2% play ")</f>
        <v xml:space="preserve">Rams -6 2.2% play </v>
      </c>
      <c r="E958" s="11">
        <v>2.2000000000000002</v>
      </c>
      <c r="F958" s="11">
        <v>-1.1000000000000001</v>
      </c>
      <c r="G958" s="11" t="s">
        <v>6</v>
      </c>
      <c r="H958" s="13">
        <v>-2200</v>
      </c>
      <c r="I958" s="14">
        <f t="shared" si="34"/>
        <v>-0.68938510000000031</v>
      </c>
      <c r="J958" s="13">
        <f t="shared" si="35"/>
        <v>252938.77000000002</v>
      </c>
    </row>
    <row r="959" spans="1:10" x14ac:dyDescent="0.25">
      <c r="A959" s="10">
        <v>43106.690972222219</v>
      </c>
      <c r="B959" s="11" t="s">
        <v>2</v>
      </c>
      <c r="C959" s="11" t="s">
        <v>5</v>
      </c>
      <c r="D959" s="16" t="str">
        <f>HYPERLINK("https://freddywills.com/pick/6807/5-5-nfl-pod-31-18-l49-max-nfl-pod-s-guaranteed-or-back.html", "TITANS +8 5.5% POD")</f>
        <v>TITANS +8 5.5% POD</v>
      </c>
      <c r="E959" s="11">
        <v>5.5</v>
      </c>
      <c r="F959" s="11">
        <v>-1.1000000000000001</v>
      </c>
      <c r="G959" s="11" t="s">
        <v>4</v>
      </c>
      <c r="H959" s="13">
        <v>5000</v>
      </c>
      <c r="I959" s="14">
        <f t="shared" si="34"/>
        <v>-0.66738510000000029</v>
      </c>
      <c r="J959" s="13">
        <f t="shared" si="35"/>
        <v>255138.77000000002</v>
      </c>
    </row>
    <row r="960" spans="1:10" x14ac:dyDescent="0.25">
      <c r="A960" s="10">
        <v>43106.690972222219</v>
      </c>
      <c r="B960" s="11" t="s">
        <v>2</v>
      </c>
      <c r="C960" s="11" t="s">
        <v>7</v>
      </c>
      <c r="D960" s="16" t="str">
        <f>HYPERLINK("https://freddywills.com/pick/6808/titans-vs-chiefs-total-play.html", "TITANS/CHIEFS OVER 44.5 2.2% PLAY")</f>
        <v>TITANS/CHIEFS OVER 44.5 2.2% PLAY</v>
      </c>
      <c r="E960" s="11">
        <v>2.2000000000000002</v>
      </c>
      <c r="F960" s="11">
        <v>-1.1000000000000001</v>
      </c>
      <c r="G960" s="11" t="s">
        <v>6</v>
      </c>
      <c r="H960" s="13">
        <v>-2200</v>
      </c>
      <c r="I960" s="14">
        <f t="shared" si="34"/>
        <v>-0.71738510000000033</v>
      </c>
      <c r="J960" s="13">
        <f t="shared" si="35"/>
        <v>250138.77000000002</v>
      </c>
    </row>
    <row r="961" spans="1:10" x14ac:dyDescent="0.25">
      <c r="A961" s="10">
        <v>43101.864583333336</v>
      </c>
      <c r="B961" s="11" t="s">
        <v>8</v>
      </c>
      <c r="C961" s="11" t="s">
        <v>5</v>
      </c>
      <c r="D961" s="16" t="str">
        <f>HYPERLINK("https://freddywills.com/pick/6805/sugar-bowl-alabama-vs-clemson-guaranteed-or-back.html", "Alabama -3 4.4% play ")</f>
        <v xml:space="preserve">Alabama -3 4.4% play </v>
      </c>
      <c r="E961" s="11">
        <v>4.4000000000000004</v>
      </c>
      <c r="F961" s="11">
        <v>-1.1000000000000001</v>
      </c>
      <c r="G961" s="11" t="s">
        <v>4</v>
      </c>
      <c r="H961" s="13">
        <v>4000</v>
      </c>
      <c r="I961" s="14">
        <f t="shared" si="34"/>
        <v>-0.69538510000000031</v>
      </c>
      <c r="J961" s="13">
        <f t="shared" si="35"/>
        <v>252338.77000000002</v>
      </c>
    </row>
    <row r="962" spans="1:10" x14ac:dyDescent="0.25">
      <c r="A962" s="10">
        <v>43101.708333333336</v>
      </c>
      <c r="B962" s="11" t="s">
        <v>8</v>
      </c>
      <c r="C962" s="11" t="s">
        <v>18</v>
      </c>
      <c r="D962" s="16" t="str">
        <f>HYPERLINK("https://freddywills.com/pick/6804/rose-bowl-oklahoma-vs-georgia-5-5-max-pod-30-5-1-ats-december-lifetime-9-seasons.html", "Oklahoma +125 5.5% ")</f>
        <v xml:space="preserve">Oklahoma +125 5.5% </v>
      </c>
      <c r="E962" s="11">
        <v>5.5</v>
      </c>
      <c r="F962" s="11">
        <v>1.25</v>
      </c>
      <c r="G962" s="11" t="s">
        <v>6</v>
      </c>
      <c r="H962" s="13">
        <v>-5500</v>
      </c>
      <c r="I962" s="14">
        <f t="shared" si="34"/>
        <v>-0.73538510000000035</v>
      </c>
      <c r="J962" s="13">
        <f t="shared" si="35"/>
        <v>248338.77000000002</v>
      </c>
    </row>
    <row r="963" spans="1:10" x14ac:dyDescent="0.25">
      <c r="A963" s="10">
        <v>43101.541666666664</v>
      </c>
      <c r="B963" s="11" t="s">
        <v>8</v>
      </c>
      <c r="C963" s="11" t="s">
        <v>18</v>
      </c>
      <c r="D963" s="16" t="str">
        <f>HYPERLINK("https://freddywills.com/pick/6803/free-play-new-years-day-22-8-ats-l2-seasons-on-college-free-plays.html", "Notre Dame +145 1.5% Free Play ")</f>
        <v xml:space="preserve">Notre Dame +145 1.5% Free Play </v>
      </c>
      <c r="E963" s="11">
        <v>1.5</v>
      </c>
      <c r="F963" s="11">
        <v>1.45</v>
      </c>
      <c r="G963" s="11" t="s">
        <v>4</v>
      </c>
      <c r="H963" s="13">
        <v>2175</v>
      </c>
      <c r="I963" s="14">
        <f t="shared" si="34"/>
        <v>-0.6803851000000003</v>
      </c>
      <c r="J963" s="13">
        <f t="shared" si="35"/>
        <v>253838.77000000002</v>
      </c>
    </row>
    <row r="964" spans="1:10" x14ac:dyDescent="0.25">
      <c r="A964" s="10">
        <v>43101.5</v>
      </c>
      <c r="B964" s="11" t="s">
        <v>8</v>
      </c>
      <c r="C964" s="11" t="s">
        <v>5</v>
      </c>
      <c r="D964" s="16" t="str">
        <f>HYPERLINK("https://freddywills.com/pick/6799/outback-bowl-michigan-vs-south-carolina-3-3-play.html", "Michigan -7.5 -1.05")</f>
        <v>Michigan -7.5 -1.05</v>
      </c>
      <c r="E964" s="11">
        <v>3.3</v>
      </c>
      <c r="F964" s="11">
        <v>-1.05</v>
      </c>
      <c r="G964" s="11" t="s">
        <v>6</v>
      </c>
      <c r="H964" s="13">
        <v>-3300</v>
      </c>
      <c r="I964" s="14">
        <f t="shared" si="34"/>
        <v>-0.70213510000000035</v>
      </c>
      <c r="J964" s="13">
        <f t="shared" si="35"/>
        <v>251663.77000000002</v>
      </c>
    </row>
    <row r="965" spans="1:10" x14ac:dyDescent="0.25">
      <c r="A965" s="10">
        <v>43100.684027777781</v>
      </c>
      <c r="B965" s="11" t="s">
        <v>2</v>
      </c>
      <c r="C965" s="11" t="s">
        <v>5</v>
      </c>
      <c r="D965" s="16" t="str">
        <f>HYPERLINK("https://freddywills.com/pick/6801/max-nfl-pod-31-17-ats-l48-max-rated-nfl-pod-s-44-22-ats-overall-nfl-in-december-since-13.html", "Panthers +4 5.5% NFL POD")</f>
        <v>Panthers +4 5.5% NFL POD</v>
      </c>
      <c r="E965" s="11">
        <v>5.5</v>
      </c>
      <c r="F965" s="11">
        <v>-1.1000000000000001</v>
      </c>
      <c r="G965" s="11" t="s">
        <v>6</v>
      </c>
      <c r="H965" s="13">
        <v>-5500</v>
      </c>
      <c r="I965" s="14">
        <f t="shared" si="34"/>
        <v>-0.66913510000000032</v>
      </c>
      <c r="J965" s="13">
        <f t="shared" si="35"/>
        <v>254963.77000000002</v>
      </c>
    </row>
    <row r="966" spans="1:10" x14ac:dyDescent="0.25">
      <c r="A966" s="10">
        <v>43100.684027777781</v>
      </c>
      <c r="B966" s="11" t="s">
        <v>8</v>
      </c>
      <c r="C966" s="11" t="s">
        <v>5</v>
      </c>
      <c r="D966" s="16" t="str">
        <f>HYPERLINK("https://freddywills.com/pick/6802/titans-vs-jaguars-guaranteed-or-back.html", "Titans -1.5 2.2% play ")</f>
        <v xml:space="preserve">Titans -1.5 2.2% play </v>
      </c>
      <c r="E966" s="11">
        <v>2.2000000000000002</v>
      </c>
      <c r="F966" s="11">
        <v>-1.1000000000000001</v>
      </c>
      <c r="G966" s="11" t="s">
        <v>4</v>
      </c>
      <c r="H966" s="13">
        <v>2000</v>
      </c>
      <c r="I966" s="14">
        <f t="shared" si="34"/>
        <v>-0.61413510000000027</v>
      </c>
      <c r="J966" s="13">
        <f t="shared" si="35"/>
        <v>260463.77000000002</v>
      </c>
    </row>
    <row r="967" spans="1:10" x14ac:dyDescent="0.25">
      <c r="A967" s="10">
        <v>43100.543055555558</v>
      </c>
      <c r="B967" s="11" t="s">
        <v>2</v>
      </c>
      <c r="C967" s="11" t="s">
        <v>18</v>
      </c>
      <c r="D967" s="16" t="str">
        <f>HYPERLINK("https://freddywills.com/pick/6800/dolphins-vs-bills-guaranteed-or-back.html", "Dolphins +125 3% play ")</f>
        <v xml:space="preserve">Dolphins +125 3% play </v>
      </c>
      <c r="E967" s="11">
        <v>3</v>
      </c>
      <c r="F967" s="11">
        <v>1.25</v>
      </c>
      <c r="G967" s="11" t="s">
        <v>6</v>
      </c>
      <c r="H967" s="13">
        <v>-3000</v>
      </c>
      <c r="I967" s="14">
        <f t="shared" si="34"/>
        <v>-0.63413510000000028</v>
      </c>
      <c r="J967" s="13">
        <f t="shared" si="35"/>
        <v>258463.77000000002</v>
      </c>
    </row>
    <row r="968" spans="1:10" x14ac:dyDescent="0.25">
      <c r="A968" s="10">
        <v>43099.854166666664</v>
      </c>
      <c r="B968" s="11" t="s">
        <v>8</v>
      </c>
      <c r="C968" s="11" t="s">
        <v>5</v>
      </c>
      <c r="D968" s="16" t="str">
        <f>HYPERLINK("https://freddywills.com/pick/6796/cotton-bowl-spread-play.html", "USC +8 2.2% PLAY - STILL like it even though the line moved to 9.5")</f>
        <v>USC +8 2.2% PLAY - STILL like it even though the line moved to 9.5</v>
      </c>
      <c r="E968" s="11">
        <v>2.2000000000000002</v>
      </c>
      <c r="F968" s="11">
        <v>-1.1000000000000001</v>
      </c>
      <c r="G968" s="11" t="s">
        <v>6</v>
      </c>
      <c r="H968" s="13">
        <v>-2200</v>
      </c>
      <c r="I968" s="14">
        <f t="shared" si="34"/>
        <v>-0.60413510000000026</v>
      </c>
      <c r="J968" s="13">
        <f t="shared" si="35"/>
        <v>261463.77000000002</v>
      </c>
    </row>
    <row r="969" spans="1:10" x14ac:dyDescent="0.25">
      <c r="A969" s="10">
        <v>43099.854166666664</v>
      </c>
      <c r="B969" s="11" t="s">
        <v>8</v>
      </c>
      <c r="C969" s="11" t="s">
        <v>7</v>
      </c>
      <c r="D969" s="16" t="str">
        <f>HYPERLINK("https://freddywills.com/pick/6798/orange-bowl-miami-vs-wisconsin-3-3-play.html", "Wisconsin/Miami Under 45 3.3% play ")</f>
        <v xml:space="preserve">Wisconsin/Miami Under 45 3.3% play </v>
      </c>
      <c r="E969" s="11">
        <v>3.3</v>
      </c>
      <c r="F969" s="11">
        <v>-1.1000000000000001</v>
      </c>
      <c r="G969" s="11" t="s">
        <v>6</v>
      </c>
      <c r="H969" s="13">
        <v>-3300</v>
      </c>
      <c r="I969" s="14">
        <f t="shared" si="34"/>
        <v>-0.58213510000000024</v>
      </c>
      <c r="J969" s="13">
        <f t="shared" si="35"/>
        <v>263663.77</v>
      </c>
    </row>
    <row r="970" spans="1:10" x14ac:dyDescent="0.25">
      <c r="A970" s="10">
        <v>43099.666666666664</v>
      </c>
      <c r="B970" s="11" t="s">
        <v>8</v>
      </c>
      <c r="C970" s="11" t="s">
        <v>18</v>
      </c>
      <c r="D970" s="16" t="str">
        <f>HYPERLINK("https://freddywills.com/pick/6797/fiesta-bowl-penn-state-vs-washington-guaranteed-or-back.html", "Washington +115 3% play")</f>
        <v>Washington +115 3% play</v>
      </c>
      <c r="E970" s="11">
        <v>3</v>
      </c>
      <c r="F970" s="11">
        <v>1.1499999999999999</v>
      </c>
      <c r="G970" s="11" t="s">
        <v>6</v>
      </c>
      <c r="H970" s="13">
        <v>-3000</v>
      </c>
      <c r="I970" s="14">
        <f t="shared" si="34"/>
        <v>-0.54913510000000021</v>
      </c>
      <c r="J970" s="13">
        <f t="shared" si="35"/>
        <v>266963.77</v>
      </c>
    </row>
    <row r="971" spans="1:10" x14ac:dyDescent="0.25">
      <c r="A971" s="10">
        <v>43099.520833333336</v>
      </c>
      <c r="B971" s="11" t="s">
        <v>8</v>
      </c>
      <c r="C971" s="11" t="s">
        <v>18</v>
      </c>
      <c r="D971" s="16" t="str">
        <f>HYPERLINK("https://freddywills.com/pick/6795/liberty-bowl-iowa-state-vs-memphis-4-play-171-129-ats-l300-ncaaf-4-plays.html", "Iowa State +165 4% play ")</f>
        <v xml:space="preserve">Iowa State +165 4% play </v>
      </c>
      <c r="E971" s="11">
        <v>4</v>
      </c>
      <c r="F971" s="11">
        <v>1.65</v>
      </c>
      <c r="G971" s="11" t="s">
        <v>4</v>
      </c>
      <c r="H971" s="13">
        <v>6600</v>
      </c>
      <c r="I971" s="14">
        <f t="shared" si="34"/>
        <v>-0.51913510000000018</v>
      </c>
      <c r="J971" s="13">
        <f t="shared" si="35"/>
        <v>269963.77</v>
      </c>
    </row>
    <row r="972" spans="1:10" x14ac:dyDescent="0.25">
      <c r="A972" s="10">
        <v>43098.854166666664</v>
      </c>
      <c r="B972" s="11" t="s">
        <v>8</v>
      </c>
      <c r="C972" s="11" t="s">
        <v>7</v>
      </c>
      <c r="D972" s="16" t="str">
        <f>HYPERLINK("https://freddywills.com/pick/6794/cotton-bowl-classic-usc-vs-ohio-state-3-3-play.html", "USC / Ohio State Over 64.5 3.3% PLAY ")</f>
        <v xml:space="preserve">USC / Ohio State Over 64.5 3.3% PLAY </v>
      </c>
      <c r="E972" s="11">
        <v>3.3</v>
      </c>
      <c r="F972" s="11">
        <v>-1.1000000000000001</v>
      </c>
      <c r="G972" s="11" t="s">
        <v>6</v>
      </c>
      <c r="H972" s="13">
        <v>-3300</v>
      </c>
      <c r="I972" s="14">
        <f t="shared" si="34"/>
        <v>-0.58513510000000024</v>
      </c>
      <c r="J972" s="13">
        <f t="shared" si="35"/>
        <v>263363.77</v>
      </c>
    </row>
    <row r="973" spans="1:10" x14ac:dyDescent="0.25">
      <c r="A973" s="10">
        <v>43098.625</v>
      </c>
      <c r="B973" s="11" t="s">
        <v>8</v>
      </c>
      <c r="C973" s="11" t="s">
        <v>5</v>
      </c>
      <c r="D973" s="16" t="str">
        <f>HYPERLINK("https://freddywills.com/pick/6793/sun-bowl-nc-state-vs-arizona-state-3-3-play-260-204-l464-3-ncaaf.html", "Arizona State +7 3.3% play ")</f>
        <v xml:space="preserve">Arizona State +7 3.3% play </v>
      </c>
      <c r="E973" s="11">
        <v>3.3</v>
      </c>
      <c r="F973" s="11">
        <v>-1.1000000000000001</v>
      </c>
      <c r="G973" s="11" t="s">
        <v>6</v>
      </c>
      <c r="H973" s="13">
        <v>-3300</v>
      </c>
      <c r="I973" s="14">
        <f t="shared" si="34"/>
        <v>-0.55213510000000021</v>
      </c>
      <c r="J973" s="13">
        <f t="shared" si="35"/>
        <v>266663.77</v>
      </c>
    </row>
    <row r="974" spans="1:10" x14ac:dyDescent="0.25">
      <c r="A974" s="10">
        <v>43098.541666666664</v>
      </c>
      <c r="B974" s="11" t="s">
        <v>8</v>
      </c>
      <c r="C974" s="11" t="s">
        <v>5</v>
      </c>
      <c r="D974" s="16" t="str">
        <f>HYPERLINK("https://freddywills.com/pick/6792/friday-s-max-ncaaf-pod-wake-forest-vs-texas-a-m-30-5-ats-lifetime-in-december.html", "Wake Forest -3 5.5% POD")</f>
        <v>Wake Forest -3 5.5% POD</v>
      </c>
      <c r="E974" s="11">
        <v>5.5</v>
      </c>
      <c r="F974" s="11">
        <v>-1.1000000000000001</v>
      </c>
      <c r="G974" s="11" t="s">
        <v>9</v>
      </c>
      <c r="H974" s="13">
        <v>0</v>
      </c>
      <c r="I974" s="14">
        <f t="shared" si="34"/>
        <v>-0.51913510000000018</v>
      </c>
      <c r="J974" s="13">
        <f t="shared" si="35"/>
        <v>269963.77</v>
      </c>
    </row>
    <row r="975" spans="1:10" x14ac:dyDescent="0.25">
      <c r="A975" s="10">
        <v>43097.877083333333</v>
      </c>
      <c r="B975" s="11" t="s">
        <v>8</v>
      </c>
      <c r="C975" s="11" t="s">
        <v>5</v>
      </c>
      <c r="D975" s="16" t="str">
        <f>HYPERLINK("https://freddywills.com/pick/6791/5-5-max-ncaaf-pod-30-5-ats-career-on-max-pod-s-in-december-ncaaf.html", "Michigan State -1.5 5.5% POD")</f>
        <v>Michigan State -1.5 5.5% POD</v>
      </c>
      <c r="E975" s="11">
        <v>5.5</v>
      </c>
      <c r="F975" s="11">
        <v>-1.1000000000000001</v>
      </c>
      <c r="G975" s="11" t="s">
        <v>4</v>
      </c>
      <c r="H975" s="13">
        <v>5000</v>
      </c>
      <c r="I975" s="14">
        <f t="shared" si="34"/>
        <v>-0.51913510000000018</v>
      </c>
      <c r="J975" s="13">
        <f t="shared" si="35"/>
        <v>269963.77</v>
      </c>
    </row>
    <row r="976" spans="1:10" x14ac:dyDescent="0.25">
      <c r="A976" s="10">
        <v>43097.875</v>
      </c>
      <c r="B976" s="11" t="s">
        <v>8</v>
      </c>
      <c r="C976" s="11" t="s">
        <v>18</v>
      </c>
      <c r="D976" s="16" t="str">
        <f>HYPERLINK("https://freddywills.com/pick/6789/alamo-bowl-stanford-vs-tcu-guaranteed-or-back.html", "Stanford +140 3.5% play ")</f>
        <v xml:space="preserve">Stanford +140 3.5% play </v>
      </c>
      <c r="E976" s="11">
        <v>3.5</v>
      </c>
      <c r="F976" s="11">
        <v>1.4</v>
      </c>
      <c r="G976" s="11" t="s">
        <v>6</v>
      </c>
      <c r="H976" s="13">
        <v>-3500</v>
      </c>
      <c r="I976" s="14">
        <f t="shared" si="34"/>
        <v>-0.56913510000000023</v>
      </c>
      <c r="J976" s="13">
        <f t="shared" si="35"/>
        <v>264963.77</v>
      </c>
    </row>
    <row r="977" spans="1:10" x14ac:dyDescent="0.25">
      <c r="A977" s="10">
        <v>43097.71875</v>
      </c>
      <c r="B977" s="11" t="s">
        <v>8</v>
      </c>
      <c r="C977" s="11" t="s">
        <v>5</v>
      </c>
      <c r="D977" s="16" t="str">
        <f>HYPERLINK("https://freddywills.com/pick/6788/camping-world-bowl-oklahoma-state-vs-virginia-tech.html", "Oklahoma State -5.5 3.3% play ")</f>
        <v xml:space="preserve">Oklahoma State -5.5 3.3% play </v>
      </c>
      <c r="E977" s="11">
        <v>3.3</v>
      </c>
      <c r="F977" s="11">
        <v>-1.1000000000000001</v>
      </c>
      <c r="G977" s="11" t="s">
        <v>4</v>
      </c>
      <c r="H977" s="13">
        <v>3000</v>
      </c>
      <c r="I977" s="14">
        <f t="shared" si="34"/>
        <v>-0.5341351000000002</v>
      </c>
      <c r="J977" s="13">
        <f t="shared" si="35"/>
        <v>268463.77</v>
      </c>
    </row>
    <row r="978" spans="1:10" x14ac:dyDescent="0.25">
      <c r="A978" s="10">
        <v>43097.5625</v>
      </c>
      <c r="B978" s="11" t="s">
        <v>8</v>
      </c>
      <c r="C978" s="11" t="s">
        <v>5</v>
      </c>
      <c r="D978" s="16" t="str">
        <f>HYPERLINK("https://freddywills.com/pick/6787/virginia-vs-navy-4-4-bankroll-play-57-ats-l299-ncaaf-picks-on-4.html", "Virginia -1 4.4% play ")</f>
        <v xml:space="preserve">Virginia -1 4.4% play </v>
      </c>
      <c r="E978" s="11">
        <v>4.4000000000000004</v>
      </c>
      <c r="F978" s="11">
        <v>-1.1000000000000001</v>
      </c>
      <c r="G978" s="11" t="s">
        <v>6</v>
      </c>
      <c r="H978" s="13">
        <v>-4400</v>
      </c>
      <c r="I978" s="14">
        <f t="shared" si="34"/>
        <v>-0.56413510000000022</v>
      </c>
      <c r="J978" s="13">
        <f t="shared" si="35"/>
        <v>265463.77</v>
      </c>
    </row>
    <row r="979" spans="1:10" x14ac:dyDescent="0.25">
      <c r="A979" s="10">
        <v>43096.875694444447</v>
      </c>
      <c r="B979" s="11" t="s">
        <v>8</v>
      </c>
      <c r="C979" s="11" t="s">
        <v>18</v>
      </c>
      <c r="D979" s="16" t="str">
        <f>HYPERLINK("https://freddywills.com/pick/6786/texas-bowl-texas-vs-missouri.html", "Texas +130 3% play")</f>
        <v>Texas +130 3% play</v>
      </c>
      <c r="E979" s="11">
        <v>3</v>
      </c>
      <c r="F979" s="11">
        <v>1.3</v>
      </c>
      <c r="G979" s="11" t="s">
        <v>4</v>
      </c>
      <c r="H979" s="13">
        <v>3900</v>
      </c>
      <c r="I979" s="14">
        <f t="shared" si="34"/>
        <v>-0.52013510000000018</v>
      </c>
      <c r="J979" s="13">
        <f t="shared" si="35"/>
        <v>269863.77</v>
      </c>
    </row>
    <row r="980" spans="1:10" x14ac:dyDescent="0.25">
      <c r="A980" s="10">
        <v>43096.854166666664</v>
      </c>
      <c r="B980" s="11" t="s">
        <v>8</v>
      </c>
      <c r="C980" s="11" t="s">
        <v>18</v>
      </c>
      <c r="D980" s="16" t="str">
        <f>HYPERLINK("https://freddywills.com/pick/6785/foster-farms-bowl-purdue-vs-arizona-max-pod-29-5-ats-career-in-december.html", "Purdue +142 5.5% POD")</f>
        <v>Purdue +142 5.5% POD</v>
      </c>
      <c r="E980" s="11">
        <v>5.5</v>
      </c>
      <c r="F980" s="11">
        <v>1.42</v>
      </c>
      <c r="G980" s="11" t="s">
        <v>4</v>
      </c>
      <c r="H980" s="13">
        <v>7810</v>
      </c>
      <c r="I980" s="14">
        <f t="shared" si="34"/>
        <v>-0.55913510000000022</v>
      </c>
      <c r="J980" s="13">
        <f t="shared" si="35"/>
        <v>265963.77</v>
      </c>
    </row>
    <row r="981" spans="1:10" x14ac:dyDescent="0.25">
      <c r="A981" s="10">
        <v>43096.5625</v>
      </c>
      <c r="B981" s="11" t="s">
        <v>8</v>
      </c>
      <c r="C981" s="11" t="s">
        <v>5</v>
      </c>
      <c r="D981" s="16" t="str">
        <f>HYPERLINK("https://freddywills.com/pick/6784/southern-miss-vs-florida-state-bowl-game-winner.html", "Southern MIss +15.5 2.2% play ")</f>
        <v xml:space="preserve">Southern MIss +15.5 2.2% play </v>
      </c>
      <c r="E981" s="11">
        <v>2.2000000000000002</v>
      </c>
      <c r="F981" s="11">
        <v>-1.1000000000000001</v>
      </c>
      <c r="G981" s="11" t="s">
        <v>6</v>
      </c>
      <c r="H981" s="13">
        <v>-2200</v>
      </c>
      <c r="I981" s="14">
        <f t="shared" si="34"/>
        <v>-0.63723510000000017</v>
      </c>
      <c r="J981" s="13">
        <f t="shared" si="35"/>
        <v>258153.77000000002</v>
      </c>
    </row>
    <row r="982" spans="1:10" x14ac:dyDescent="0.25">
      <c r="A982" s="10">
        <v>43095.875</v>
      </c>
      <c r="B982" s="11" t="s">
        <v>8</v>
      </c>
      <c r="C982" s="11" t="s">
        <v>5</v>
      </c>
      <c r="D982" s="16" t="str">
        <f>HYPERLINK("https://freddywills.com/pick/6783/cactus-bowl-kansas-state-vs-ucla-free-play-28-18-ats-l46-1-ncaaf-plays.html", "Kansas State -6.5 1.1% Free Play")</f>
        <v>Kansas State -6.5 1.1% Free Play</v>
      </c>
      <c r="E982" s="11">
        <v>1.1000000000000001</v>
      </c>
      <c r="F982" s="11">
        <v>-1.1000000000000001</v>
      </c>
      <c r="G982" s="11" t="s">
        <v>4</v>
      </c>
      <c r="H982" s="13">
        <v>1000</v>
      </c>
      <c r="I982" s="14">
        <f t="shared" si="34"/>
        <v>-0.61523510000000015</v>
      </c>
      <c r="J982" s="13">
        <f t="shared" si="35"/>
        <v>260353.77000000002</v>
      </c>
    </row>
    <row r="983" spans="1:10" x14ac:dyDescent="0.25">
      <c r="A983" s="10">
        <v>43095.5625</v>
      </c>
      <c r="B983" s="11" t="s">
        <v>8</v>
      </c>
      <c r="C983" s="11" t="s">
        <v>5</v>
      </c>
      <c r="D983" s="16" t="str">
        <f>HYPERLINK("https://freddywills.com/pick/6782/utah-vs-west-virginia-guaranteed-or-back.html", "Utah -6.5 2.2% play ")</f>
        <v xml:space="preserve">Utah -6.5 2.2% play </v>
      </c>
      <c r="E983" s="11">
        <v>2.2000000000000002</v>
      </c>
      <c r="F983" s="11">
        <v>-1.1000000000000001</v>
      </c>
      <c r="G983" s="11" t="s">
        <v>4</v>
      </c>
      <c r="H983" s="13">
        <v>2000</v>
      </c>
      <c r="I983" s="14">
        <f t="shared" si="34"/>
        <v>-0.62523510000000015</v>
      </c>
      <c r="J983" s="13">
        <f t="shared" si="35"/>
        <v>259353.77000000002</v>
      </c>
    </row>
    <row r="984" spans="1:10" x14ac:dyDescent="0.25">
      <c r="A984" s="10">
        <v>43094.854166666664</v>
      </c>
      <c r="B984" s="11" t="s">
        <v>2</v>
      </c>
      <c r="C984" s="11" t="s">
        <v>7</v>
      </c>
      <c r="D984" s="16" t="str">
        <f>HYPERLINK("https://freddywills.com/pick/6781/christmas-day-nfl-total-of-the-day-raiders-vs-eagles.html", "Raiders/Eagles Under 47 3.3% play ")</f>
        <v xml:space="preserve">Raiders/Eagles Under 47 3.3% play </v>
      </c>
      <c r="E984" s="11">
        <v>3.3</v>
      </c>
      <c r="F984" s="11">
        <v>-1.1000000000000001</v>
      </c>
      <c r="G984" s="11" t="s">
        <v>4</v>
      </c>
      <c r="H984" s="13">
        <v>3000</v>
      </c>
      <c r="I984" s="14">
        <f t="shared" si="34"/>
        <v>-0.64523510000000017</v>
      </c>
      <c r="J984" s="13">
        <f t="shared" si="35"/>
        <v>257353.77000000002</v>
      </c>
    </row>
    <row r="985" spans="1:10" x14ac:dyDescent="0.25">
      <c r="A985" s="10">
        <v>43093.854166666664</v>
      </c>
      <c r="B985" s="11" t="s">
        <v>8</v>
      </c>
      <c r="C985" s="11" t="s">
        <v>7</v>
      </c>
      <c r="D985" s="16" t="str">
        <f>HYPERLINK("https://freddywills.com/pick/6775/hawaii-bowl-7-1-ats-lifetime-in-hawaii-bowl-guaranteed-or-back.html", "Fresno/Houston U49 3.3% play")</f>
        <v>Fresno/Houston U49 3.3% play</v>
      </c>
      <c r="E985" s="11">
        <v>3.3</v>
      </c>
      <c r="F985" s="11">
        <v>-1.1000000000000001</v>
      </c>
      <c r="G985" s="11" t="s">
        <v>6</v>
      </c>
      <c r="H985" s="13">
        <v>-3300</v>
      </c>
      <c r="I985" s="14">
        <f t="shared" si="34"/>
        <v>-0.6752351000000002</v>
      </c>
      <c r="J985" s="13">
        <f t="shared" si="35"/>
        <v>254353.77000000002</v>
      </c>
    </row>
    <row r="986" spans="1:10" x14ac:dyDescent="0.25">
      <c r="A986" s="10">
        <v>43093.684027777781</v>
      </c>
      <c r="B986" s="11" t="s">
        <v>2</v>
      </c>
      <c r="C986" s="11" t="s">
        <v>7</v>
      </c>
      <c r="D986" s="16" t="str">
        <f>HYPERLINK("https://freddywills.com/pick/6780/nfl-total-of-the-day-seahawks-vs-cowboys.html", "Cowboys/Seahawks Over 46.5 3.3% play ")</f>
        <v xml:space="preserve">Cowboys/Seahawks Over 46.5 3.3% play </v>
      </c>
      <c r="E986" s="11">
        <v>3.3</v>
      </c>
      <c r="F986" s="11">
        <v>-1.1000000000000001</v>
      </c>
      <c r="G986" s="11" t="s">
        <v>6</v>
      </c>
      <c r="H986" s="13">
        <v>-3300</v>
      </c>
      <c r="I986" s="14">
        <f t="shared" si="34"/>
        <v>-0.64223510000000017</v>
      </c>
      <c r="J986" s="13">
        <f t="shared" si="35"/>
        <v>257653.77000000002</v>
      </c>
    </row>
    <row r="987" spans="1:10" x14ac:dyDescent="0.25">
      <c r="A987" s="10">
        <v>43093.670138888891</v>
      </c>
      <c r="B987" s="11" t="s">
        <v>2</v>
      </c>
      <c r="C987" s="11" t="s">
        <v>5</v>
      </c>
      <c r="D987" s="16" t="str">
        <f>HYPERLINK("https://freddywills.com/pick/6779/5-5-max-nfl-pod-30-17-l47-max-rated-nfl-picks.html", "49ers +4.5 5.5% POD")</f>
        <v>49ers +4.5 5.5% POD</v>
      </c>
      <c r="E987" s="11">
        <v>5.5</v>
      </c>
      <c r="F987" s="11">
        <v>-1.1000000000000001</v>
      </c>
      <c r="G987" s="11" t="s">
        <v>4</v>
      </c>
      <c r="H987" s="13">
        <v>5000</v>
      </c>
      <c r="I987" s="14">
        <f t="shared" si="34"/>
        <v>-0.60923510000000014</v>
      </c>
      <c r="J987" s="13">
        <f t="shared" si="35"/>
        <v>260953.77000000002</v>
      </c>
    </row>
    <row r="988" spans="1:10" x14ac:dyDescent="0.25">
      <c r="A988" s="10">
        <v>43093.541666666664</v>
      </c>
      <c r="B988" s="11" t="s">
        <v>2</v>
      </c>
      <c r="C988" s="11" t="s">
        <v>18</v>
      </c>
      <c r="D988" s="16" t="str">
        <f>HYPERLINK("https://freddywills.com/pick/6776/nfl-dog-of-the-week-goes-early.html", "Browns +200 2% play ")</f>
        <v xml:space="preserve">Browns +200 2% play </v>
      </c>
      <c r="E988" s="11">
        <v>2</v>
      </c>
      <c r="F988" s="11">
        <v>2</v>
      </c>
      <c r="G988" s="11" t="s">
        <v>6</v>
      </c>
      <c r="H988" s="13">
        <v>-2000</v>
      </c>
      <c r="I988" s="14">
        <f t="shared" si="34"/>
        <v>-0.65923510000000018</v>
      </c>
      <c r="J988" s="13">
        <f t="shared" si="35"/>
        <v>255953.77000000002</v>
      </c>
    </row>
    <row r="989" spans="1:10" x14ac:dyDescent="0.25">
      <c r="A989" s="10">
        <v>43093.541666666664</v>
      </c>
      <c r="B989" s="11" t="s">
        <v>2</v>
      </c>
      <c r="C989" s="11" t="s">
        <v>5</v>
      </c>
      <c r="D989" s="16" t="str">
        <f>HYPERLINK("https://freddywills.com/pick/6778/titans-vs-rams-41-19-l60-nfl-picks-in-december.html", "Titans +6 3.3% play ")</f>
        <v xml:space="preserve">Titans +6 3.3% play </v>
      </c>
      <c r="E989" s="11">
        <v>3.3</v>
      </c>
      <c r="F989" s="11">
        <v>-1.1000000000000001</v>
      </c>
      <c r="G989" s="11" t="s">
        <v>4</v>
      </c>
      <c r="H989" s="13">
        <v>3000</v>
      </c>
      <c r="I989" s="14">
        <f t="shared" si="34"/>
        <v>-0.63923510000000017</v>
      </c>
      <c r="J989" s="13">
        <f t="shared" si="35"/>
        <v>257953.77000000002</v>
      </c>
    </row>
    <row r="990" spans="1:10" x14ac:dyDescent="0.25">
      <c r="A990" s="10">
        <v>43093.041666666664</v>
      </c>
      <c r="B990" s="11" t="s">
        <v>2</v>
      </c>
      <c r="C990" s="11" t="s">
        <v>5</v>
      </c>
      <c r="D990" s="16" t="str">
        <f>HYPERLINK("https://freddywills.com/pick/6777/falcons-vs-saints-rivalry-showdown-41-19-l60-nfl-picks-in-december.html", "Falcons +5.5 2.2% play ")</f>
        <v xml:space="preserve">Falcons +5.5 2.2% play </v>
      </c>
      <c r="E990" s="11">
        <v>2.2000000000000002</v>
      </c>
      <c r="F990" s="11">
        <v>-1.1000000000000001</v>
      </c>
      <c r="G990" s="11" t="s">
        <v>6</v>
      </c>
      <c r="H990" s="13">
        <v>-2200</v>
      </c>
      <c r="I990" s="14">
        <f t="shared" si="34"/>
        <v>-0.66923510000000019</v>
      </c>
      <c r="J990" s="13">
        <f t="shared" si="35"/>
        <v>254953.77000000002</v>
      </c>
    </row>
    <row r="991" spans="1:10" x14ac:dyDescent="0.25">
      <c r="A991" s="10">
        <v>43092.645833333336</v>
      </c>
      <c r="B991" s="11" t="s">
        <v>8</v>
      </c>
      <c r="C991" s="11" t="s">
        <v>5</v>
      </c>
      <c r="D991" s="16" t="str">
        <f>HYPERLINK("https://freddywills.com/pick/6773/3-3-play-san-diego-state-vs-army-guaranteed-or-back.html", "San Diego State -6.5 3.3% play ")</f>
        <v xml:space="preserve">San Diego State -6.5 3.3% play </v>
      </c>
      <c r="E991" s="11">
        <v>3.3</v>
      </c>
      <c r="F991" s="11">
        <v>-1.1000000000000001</v>
      </c>
      <c r="G991" s="11" t="s">
        <v>6</v>
      </c>
      <c r="H991" s="13">
        <v>-3300</v>
      </c>
      <c r="I991" s="14">
        <f t="shared" si="34"/>
        <v>-0.64723510000000017</v>
      </c>
      <c r="J991" s="13">
        <f t="shared" si="35"/>
        <v>257153.77000000002</v>
      </c>
    </row>
    <row r="992" spans="1:10" x14ac:dyDescent="0.25">
      <c r="A992" s="10">
        <v>43092.5</v>
      </c>
      <c r="B992" s="11" t="s">
        <v>8</v>
      </c>
      <c r="C992" s="11" t="s">
        <v>18</v>
      </c>
      <c r="D992" s="16" t="str">
        <f>HYPERLINK("https://freddywills.com/pick/6774/birmingham-bowl-texas-tech-vs-south-florida.html", "Texas Tech +135 3% play ")</f>
        <v xml:space="preserve">Texas Tech +135 3% play </v>
      </c>
      <c r="E992" s="11">
        <v>3</v>
      </c>
      <c r="F992" s="11">
        <v>1.35</v>
      </c>
      <c r="G992" s="11" t="s">
        <v>6</v>
      </c>
      <c r="H992" s="13">
        <v>-3000</v>
      </c>
      <c r="I992" s="14">
        <f t="shared" si="34"/>
        <v>-0.61423510000000014</v>
      </c>
      <c r="J992" s="13">
        <f t="shared" si="35"/>
        <v>260453.77000000002</v>
      </c>
    </row>
    <row r="993" spans="1:10" x14ac:dyDescent="0.25">
      <c r="A993" s="10">
        <v>43091.666666666664</v>
      </c>
      <c r="B993" s="11" t="s">
        <v>8</v>
      </c>
      <c r="C993" s="11" t="s">
        <v>5</v>
      </c>
      <c r="D993" s="16" t="str">
        <f>HYPERLINK("https://freddywills.com/pick/6772/5-5-max-ncaaf-pod-29-4-ats-lifetime-in-september-ncaaf-5-5-plays.html", "Central Michigan +3.5 5.5% POD")</f>
        <v>Central Michigan +3.5 5.5% POD</v>
      </c>
      <c r="E993" s="11">
        <v>5.5</v>
      </c>
      <c r="F993" s="11">
        <v>-1.1000000000000001</v>
      </c>
      <c r="G993" s="11" t="s">
        <v>6</v>
      </c>
      <c r="H993" s="13">
        <v>-5500</v>
      </c>
      <c r="I993" s="14">
        <f t="shared" si="34"/>
        <v>-0.58423510000000012</v>
      </c>
      <c r="J993" s="13">
        <f t="shared" si="35"/>
        <v>263453.77</v>
      </c>
    </row>
    <row r="994" spans="1:10" x14ac:dyDescent="0.25">
      <c r="A994" s="10">
        <v>43091.520833333336</v>
      </c>
      <c r="B994" s="11" t="s">
        <v>8</v>
      </c>
      <c r="C994" s="11" t="s">
        <v>18</v>
      </c>
      <c r="D994" s="16" t="str">
        <f>HYPERLINK("https://freddywills.com/pick/6771/bahamas-bowl-uab-vs-ohio-91-58-ats-l149-ncaaf-in-december.html", "UAB +240 4% PLAY ")</f>
        <v xml:space="preserve">UAB +240 4% PLAY </v>
      </c>
      <c r="E994" s="11">
        <v>4</v>
      </c>
      <c r="F994" s="11">
        <v>2.4</v>
      </c>
      <c r="G994" s="11" t="s">
        <v>6</v>
      </c>
      <c r="H994" s="13">
        <v>-4000</v>
      </c>
      <c r="I994" s="14">
        <f t="shared" si="34"/>
        <v>-0.52923510000000007</v>
      </c>
      <c r="J994" s="13">
        <f t="shared" si="35"/>
        <v>268953.77</v>
      </c>
    </row>
    <row r="995" spans="1:10" x14ac:dyDescent="0.25">
      <c r="A995" s="10">
        <v>43090.833333333336</v>
      </c>
      <c r="B995" s="11" t="s">
        <v>8</v>
      </c>
      <c r="C995" s="11" t="s">
        <v>5</v>
      </c>
      <c r="D995" s="16" t="str">
        <f>HYPERLINK("https://freddywills.com/pick/6770/4-4-ncaaf-pod-temple-vs-fiu-171-126-ats-on-4-bankroll-plays-since-2011.html", "FIU +7 4.4% NCAAF POD")</f>
        <v>FIU +7 4.4% NCAAF POD</v>
      </c>
      <c r="E995" s="11">
        <v>4.4000000000000004</v>
      </c>
      <c r="F995" s="11">
        <v>-1.1000000000000001</v>
      </c>
      <c r="G995" s="11" t="s">
        <v>6</v>
      </c>
      <c r="H995" s="13">
        <v>-4400</v>
      </c>
      <c r="I995" s="14">
        <f t="shared" si="34"/>
        <v>-0.48923510000000009</v>
      </c>
      <c r="J995" s="13">
        <f t="shared" si="35"/>
        <v>272953.77</v>
      </c>
    </row>
    <row r="996" spans="1:10" x14ac:dyDescent="0.25">
      <c r="A996" s="10">
        <v>43089.833333333336</v>
      </c>
      <c r="B996" s="11" t="s">
        <v>8</v>
      </c>
      <c r="C996" s="11" t="s">
        <v>7</v>
      </c>
      <c r="D996" s="16" t="str">
        <f>HYPERLINK("https://freddywills.com/pick/6769/smu-vs-louisana-tech-total-play-258-199-l457-3-bankroll-plays.html", "LA Tech / SMU Over 70 3.3% play ")</f>
        <v xml:space="preserve">LA Tech / SMU Over 70 3.3% play </v>
      </c>
      <c r="E996" s="11">
        <v>3.3</v>
      </c>
      <c r="F996" s="11">
        <v>-1.1000000000000001</v>
      </c>
      <c r="G996" s="11" t="s">
        <v>6</v>
      </c>
      <c r="H996" s="13">
        <v>-3300</v>
      </c>
      <c r="I996" s="14">
        <f t="shared" si="34"/>
        <v>-0.44523510000000011</v>
      </c>
      <c r="J996" s="13">
        <f t="shared" si="35"/>
        <v>277353.77</v>
      </c>
    </row>
    <row r="997" spans="1:10" x14ac:dyDescent="0.25">
      <c r="A997" s="10">
        <v>43086.541666666664</v>
      </c>
      <c r="B997" s="11" t="s">
        <v>2</v>
      </c>
      <c r="C997" s="11" t="s">
        <v>5</v>
      </c>
      <c r="D997" s="16" t="str">
        <f>HYPERLINK("https://freddywills.com/pick/6766/5-5-nfl-pod-40-17-last-57-nfl-picks-december-since-2013.html", "Browns +7 5.5% NFL POD")</f>
        <v>Browns +7 5.5% NFL POD</v>
      </c>
      <c r="E997" s="11">
        <v>5.5</v>
      </c>
      <c r="F997" s="11">
        <v>-1.1000000000000001</v>
      </c>
      <c r="G997" s="11" t="s">
        <v>6</v>
      </c>
      <c r="H997" s="13">
        <v>-5500</v>
      </c>
      <c r="I997" s="14">
        <f t="shared" si="34"/>
        <v>-0.41223510000000013</v>
      </c>
      <c r="J997" s="13">
        <f t="shared" si="35"/>
        <v>280653.77</v>
      </c>
    </row>
    <row r="998" spans="1:10" x14ac:dyDescent="0.25">
      <c r="A998" s="10">
        <v>43086.541666666664</v>
      </c>
      <c r="B998" s="11" t="s">
        <v>2</v>
      </c>
      <c r="C998" s="11" t="s">
        <v>5</v>
      </c>
      <c r="D998" s="16" t="str">
        <f>HYPERLINK("https://freddywills.com/pick/6767/2-2-nfl-early-bird-special-guaranteed-or-back.html", "Giants +7.5 2.2% play ")</f>
        <v xml:space="preserve">Giants +7.5 2.2% play </v>
      </c>
      <c r="E998" s="11">
        <v>2.2000000000000002</v>
      </c>
      <c r="F998" s="11">
        <v>-1.1000000000000001</v>
      </c>
      <c r="G998" s="11" t="s">
        <v>4</v>
      </c>
      <c r="H998" s="13">
        <v>2000</v>
      </c>
      <c r="I998" s="14">
        <f t="shared" si="34"/>
        <v>-0.35723510000000014</v>
      </c>
      <c r="J998" s="13">
        <f t="shared" si="35"/>
        <v>286153.77</v>
      </c>
    </row>
    <row r="999" spans="1:10" x14ac:dyDescent="0.25">
      <c r="A999" s="10">
        <v>43086.541666666664</v>
      </c>
      <c r="B999" s="11" t="s">
        <v>2</v>
      </c>
      <c r="C999" s="11" t="s">
        <v>5</v>
      </c>
      <c r="D999" s="16" t="str">
        <f>HYPERLINK("https://freddywills.com/pick/6768/3-3-nfl-play-guaranteed-or-back-40-17-last-57-nfl-picks-in-december.html", "Texans +10.5 3.3% play ")</f>
        <v xml:space="preserve">Texans +10.5 3.3% play </v>
      </c>
      <c r="E999" s="11">
        <v>3.3</v>
      </c>
      <c r="F999" s="11">
        <v>-1.1000000000000001</v>
      </c>
      <c r="G999" s="11" t="s">
        <v>6</v>
      </c>
      <c r="H999" s="13">
        <v>-3300</v>
      </c>
      <c r="I999" s="14">
        <f t="shared" si="34"/>
        <v>-0.37723510000000016</v>
      </c>
      <c r="J999" s="13">
        <f t="shared" si="35"/>
        <v>284153.77</v>
      </c>
    </row>
    <row r="1000" spans="1:10" x14ac:dyDescent="0.25">
      <c r="A1000" s="10">
        <v>43085.854166666664</v>
      </c>
      <c r="B1000" s="11" t="s">
        <v>2</v>
      </c>
      <c r="C1000" s="11" t="s">
        <v>18</v>
      </c>
      <c r="D1000" s="16" t="str">
        <f>HYPERLINK("https://freddywills.com/pick/6765/4-5-nfl-pod-saturday-39-17-last-56-nfl-december-plays-since-2013.html", "Chiefs +100 4.5% NFL POD")</f>
        <v>Chiefs +100 4.5% NFL POD</v>
      </c>
      <c r="E1000" s="11">
        <v>4.5</v>
      </c>
      <c r="F1000" s="11">
        <v>1</v>
      </c>
      <c r="G1000" s="11" t="s">
        <v>4</v>
      </c>
      <c r="H1000" s="13">
        <v>4500</v>
      </c>
      <c r="I1000" s="14">
        <f t="shared" si="34"/>
        <v>-0.34423510000000013</v>
      </c>
      <c r="J1000" s="13">
        <f t="shared" si="35"/>
        <v>287453.77</v>
      </c>
    </row>
    <row r="1001" spans="1:10" x14ac:dyDescent="0.25">
      <c r="A1001" s="10">
        <v>43085.833333333336</v>
      </c>
      <c r="B1001" s="11" t="s">
        <v>8</v>
      </c>
      <c r="C1001" s="11" t="s">
        <v>5</v>
      </c>
      <c r="D1001" s="16" t="str">
        <f>HYPERLINK("https://freddywills.com/pick/6764/r-a-r-e-5-5-max-pod-camellia-bowl-arkansas-state-vs-middle-tennessee-state-28-4-ats-lifetime.html", "Middle Tennessee +3.5 5.5% POD")</f>
        <v>Middle Tennessee +3.5 5.5% POD</v>
      </c>
      <c r="E1001" s="11">
        <v>5.5</v>
      </c>
      <c r="F1001" s="11">
        <v>-1.1000000000000001</v>
      </c>
      <c r="G1001" s="11" t="s">
        <v>4</v>
      </c>
      <c r="H1001" s="13">
        <v>5000</v>
      </c>
      <c r="I1001" s="14">
        <f t="shared" si="34"/>
        <v>-0.38923510000000011</v>
      </c>
      <c r="J1001" s="13">
        <f t="shared" si="35"/>
        <v>282953.77</v>
      </c>
    </row>
    <row r="1002" spans="1:10" x14ac:dyDescent="0.25">
      <c r="A1002" s="10">
        <v>43085.6875</v>
      </c>
      <c r="B1002" s="11" t="s">
        <v>8</v>
      </c>
      <c r="C1002" s="11" t="s">
        <v>7</v>
      </c>
      <c r="D1002" s="16" t="str">
        <f>HYPERLINK("https://freddywills.com/pick/6763/new-mexico-bowl-total-play.html", "Marshall/Col State Over58 3.3% play")</f>
        <v>Marshall/Col State Over58 3.3% play</v>
      </c>
      <c r="E1002" s="11">
        <v>3.3</v>
      </c>
      <c r="F1002" s="11">
        <v>-1.1000000000000001</v>
      </c>
      <c r="G1002" s="11" t="s">
        <v>4</v>
      </c>
      <c r="H1002" s="13">
        <v>3000</v>
      </c>
      <c r="I1002" s="14">
        <f t="shared" si="34"/>
        <v>-0.4392351000000001</v>
      </c>
      <c r="J1002" s="13">
        <f t="shared" si="35"/>
        <v>277953.77</v>
      </c>
    </row>
    <row r="1003" spans="1:10" x14ac:dyDescent="0.25">
      <c r="A1003" s="10">
        <v>43085.645833333336</v>
      </c>
      <c r="B1003" s="11" t="s">
        <v>8</v>
      </c>
      <c r="C1003" s="11" t="s">
        <v>5</v>
      </c>
      <c r="D1003" s="16" t="str">
        <f>HYPERLINK("https://freddywills.com/pick/6762/las-vegas-bowl-oregon-vs-boise-state-89-56-61-3-ats-since-2012-in-december.html", "Oregon -7 3.3% play ")</f>
        <v xml:space="preserve">Oregon -7 3.3% play </v>
      </c>
      <c r="E1003" s="11">
        <v>3.3</v>
      </c>
      <c r="F1003" s="11">
        <v>-1.1000000000000001</v>
      </c>
      <c r="G1003" s="11" t="s">
        <v>6</v>
      </c>
      <c r="H1003" s="13">
        <v>-3300</v>
      </c>
      <c r="I1003" s="14">
        <f t="shared" si="34"/>
        <v>-0.46923510000000013</v>
      </c>
      <c r="J1003" s="13">
        <f t="shared" si="35"/>
        <v>274953.77</v>
      </c>
    </row>
    <row r="1004" spans="1:10" x14ac:dyDescent="0.25">
      <c r="A1004" s="10">
        <v>43085.541666666664</v>
      </c>
      <c r="B1004" s="11" t="s">
        <v>8</v>
      </c>
      <c r="C1004" s="11" t="s">
        <v>18</v>
      </c>
      <c r="D1004" s="16" t="str">
        <f>HYPERLINK("https://freddywills.com/pick/6757/new-orleans-bowl-north-texas-vs-troy-guaranteed.html", "North Texas +215 2% play")</f>
        <v>North Texas +215 2% play</v>
      </c>
      <c r="E1004" s="11">
        <v>2</v>
      </c>
      <c r="F1004" s="11">
        <v>2.15</v>
      </c>
      <c r="G1004" s="11" t="s">
        <v>6</v>
      </c>
      <c r="H1004" s="13">
        <v>-2000</v>
      </c>
      <c r="I1004" s="14">
        <f t="shared" si="34"/>
        <v>-0.43623510000000015</v>
      </c>
      <c r="J1004" s="13">
        <f t="shared" si="35"/>
        <v>278253.77</v>
      </c>
    </row>
    <row r="1005" spans="1:10" x14ac:dyDescent="0.25">
      <c r="A1005" s="10">
        <v>43079.684027777781</v>
      </c>
      <c r="B1005" s="11" t="s">
        <v>2</v>
      </c>
      <c r="C1005" s="11" t="s">
        <v>18</v>
      </c>
      <c r="D1005" s="16" t="str">
        <f>HYPERLINK("https://freddywills.com/pick/6758/nfl-pod-max-rated-41-28-l69-max-rated-nfl-pod-s-36-16-ats-l52-nfl-picks-in-dec.html", "Eagles +105 5.5% NFL POD -")</f>
        <v>Eagles +105 5.5% NFL POD -</v>
      </c>
      <c r="E1005" s="11">
        <v>5.5</v>
      </c>
      <c r="F1005" s="11">
        <v>1.05</v>
      </c>
      <c r="G1005" s="11" t="s">
        <v>4</v>
      </c>
      <c r="H1005" s="13">
        <v>5775</v>
      </c>
      <c r="I1005" s="14">
        <f t="shared" si="34"/>
        <v>-0.41623510000000014</v>
      </c>
      <c r="J1005" s="13">
        <f t="shared" si="35"/>
        <v>280253.77</v>
      </c>
    </row>
    <row r="1006" spans="1:10" x14ac:dyDescent="0.25">
      <c r="A1006" s="10">
        <v>43079.670138888891</v>
      </c>
      <c r="B1006" s="11" t="s">
        <v>2</v>
      </c>
      <c r="C1006" s="11" t="s">
        <v>18</v>
      </c>
      <c r="D1006" s="16" t="str">
        <f>HYPERLINK("https://freddywills.com/pick/6759/money-line-dog-of-the-week-63-ats-since-2013-in-december.html", "Cardinals +135 3% play")</f>
        <v>Cardinals +135 3% play</v>
      </c>
      <c r="E1006" s="11">
        <v>3</v>
      </c>
      <c r="F1006" s="11">
        <v>1.35</v>
      </c>
      <c r="G1006" s="11" t="s">
        <v>4</v>
      </c>
      <c r="H1006" s="13">
        <v>4050</v>
      </c>
      <c r="I1006" s="14">
        <f t="shared" si="34"/>
        <v>-0.47398510000000016</v>
      </c>
      <c r="J1006" s="13">
        <f t="shared" si="35"/>
        <v>274478.77</v>
      </c>
    </row>
    <row r="1007" spans="1:10" x14ac:dyDescent="0.25">
      <c r="A1007" s="10">
        <v>43079.541666666664</v>
      </c>
      <c r="B1007" s="11" t="s">
        <v>2</v>
      </c>
      <c r="C1007" s="11" t="s">
        <v>5</v>
      </c>
      <c r="D1007" s="16" t="str">
        <f>HYPERLINK("https://freddywills.com/pick/6760/sunday-s-early-bird-nfl-pick-bears-bengals-guaranteed-or-back.html", "Bears +6.5 2.2% play ")</f>
        <v xml:space="preserve">Bears +6.5 2.2% play </v>
      </c>
      <c r="E1007" s="11">
        <v>2.2000000000000002</v>
      </c>
      <c r="F1007" s="11">
        <v>-1.1000000000000001</v>
      </c>
      <c r="G1007" s="11" t="s">
        <v>4</v>
      </c>
      <c r="H1007" s="13">
        <v>2000</v>
      </c>
      <c r="I1007" s="14">
        <f t="shared" si="34"/>
        <v>-0.51448510000000014</v>
      </c>
      <c r="J1007" s="13">
        <f t="shared" si="35"/>
        <v>270428.77</v>
      </c>
    </row>
    <row r="1008" spans="1:10" x14ac:dyDescent="0.25">
      <c r="A1008" s="10">
        <v>43079.541666666664</v>
      </c>
      <c r="B1008" s="11" t="s">
        <v>2</v>
      </c>
      <c r="C1008" s="11" t="s">
        <v>5</v>
      </c>
      <c r="D1008" s="16" t="str">
        <f>HYPERLINK("https://freddywills.com/pick/6761/nfl-rivalry-play-of-the-week-giants-vs-cowboys.html", "Giants +3.5 3.3% play ")</f>
        <v xml:space="preserve">Giants +3.5 3.3% play </v>
      </c>
      <c r="E1008" s="11">
        <v>3.3</v>
      </c>
      <c r="F1008" s="11">
        <v>-1.1000000000000001</v>
      </c>
      <c r="G1008" s="11" t="s">
        <v>6</v>
      </c>
      <c r="H1008" s="13">
        <v>-3300</v>
      </c>
      <c r="I1008" s="14">
        <f t="shared" si="34"/>
        <v>-0.53448510000000016</v>
      </c>
      <c r="J1008" s="13">
        <f t="shared" si="35"/>
        <v>268428.77</v>
      </c>
    </row>
    <row r="1009" spans="1:10" x14ac:dyDescent="0.25">
      <c r="A1009" s="10">
        <v>43078.625</v>
      </c>
      <c r="B1009" s="11" t="s">
        <v>8</v>
      </c>
      <c r="C1009" s="11" t="s">
        <v>18</v>
      </c>
      <c r="D1009" s="16" t="str">
        <f>HYPERLINK("https://freddywills.com/pick/6755/army-vs-navy-5-5-max-pod-7-2-ats-career-in-army-navy-games-guaranteed-or-back.html", "Army +135 5.5% POD")</f>
        <v>Army +135 5.5% POD</v>
      </c>
      <c r="E1009" s="11">
        <v>5.5</v>
      </c>
      <c r="F1009" s="11">
        <v>1.35</v>
      </c>
      <c r="G1009" s="11" t="s">
        <v>4</v>
      </c>
      <c r="H1009" s="13">
        <v>7425</v>
      </c>
      <c r="I1009" s="14">
        <f t="shared" si="34"/>
        <v>-0.50148510000000013</v>
      </c>
      <c r="J1009" s="13">
        <f t="shared" si="35"/>
        <v>271728.77</v>
      </c>
    </row>
    <row r="1010" spans="1:10" x14ac:dyDescent="0.25">
      <c r="A1010" s="10">
        <v>43076.833333333336</v>
      </c>
      <c r="B1010" s="11" t="s">
        <v>2</v>
      </c>
      <c r="C1010" s="11" t="s">
        <v>5</v>
      </c>
      <c r="D1010" s="16" t="str">
        <f>HYPERLINK("https://freddywills.com/pick/6756/thursday-s-nfl-game-saints-vs-falcons-guaranteed-or-back-35-16-ats-l51-december-nfl-picks.html", "Falcons -105 4% play ")</f>
        <v xml:space="preserve">Falcons -105 4% play </v>
      </c>
      <c r="E1010" s="11">
        <v>4</v>
      </c>
      <c r="F1010" s="11">
        <v>-1.1000000000000001</v>
      </c>
      <c r="G1010" s="11" t="s">
        <v>4</v>
      </c>
      <c r="H1010" s="13">
        <v>3636.36</v>
      </c>
      <c r="I1010" s="14">
        <f t="shared" si="34"/>
        <v>-0.57573510000000017</v>
      </c>
      <c r="J1010" s="13">
        <f t="shared" si="35"/>
        <v>264303.77</v>
      </c>
    </row>
    <row r="1011" spans="1:10" x14ac:dyDescent="0.25">
      <c r="A1011" s="10">
        <v>43072.541666666664</v>
      </c>
      <c r="B1011" s="11" t="s">
        <v>2</v>
      </c>
      <c r="C1011" s="11" t="s">
        <v>18</v>
      </c>
      <c r="D1011" s="16" t="str">
        <f>HYPERLINK("https://freddywills.com/pick/6751/vikings-falcons-guaranteed-play-or-back.html", "Vikings +125 3% play ")</f>
        <v xml:space="preserve">Vikings +125 3% play </v>
      </c>
      <c r="E1011" s="11">
        <v>3</v>
      </c>
      <c r="F1011" s="11">
        <v>1.25</v>
      </c>
      <c r="G1011" s="11" t="s">
        <v>4</v>
      </c>
      <c r="H1011" s="13">
        <v>3750</v>
      </c>
      <c r="I1011" s="14">
        <f t="shared" si="34"/>
        <v>-0.61209870000000022</v>
      </c>
      <c r="J1011" s="13">
        <f t="shared" si="35"/>
        <v>260667.41000000003</v>
      </c>
    </row>
    <row r="1012" spans="1:10" x14ac:dyDescent="0.25">
      <c r="A1012" s="10">
        <v>43072.541666666664</v>
      </c>
      <c r="B1012" s="11" t="s">
        <v>2</v>
      </c>
      <c r="C1012" s="11" t="s">
        <v>18</v>
      </c>
      <c r="D1012" s="16" t="str">
        <f>HYPERLINK("https://freddywills.com/pick/6752/money-line-nfl-dog-of-the-week-at-150-guaranteed-or-back.html", "49ers +150 2% play ")</f>
        <v xml:space="preserve">49ers +150 2% play </v>
      </c>
      <c r="E1012" s="11">
        <v>2</v>
      </c>
      <c r="F1012" s="11">
        <v>1.5</v>
      </c>
      <c r="G1012" s="11" t="s">
        <v>4</v>
      </c>
      <c r="H1012" s="13">
        <v>3000</v>
      </c>
      <c r="I1012" s="14">
        <f t="shared" ref="I1012:I1075" si="36">(H1012/100000)+I1013</f>
        <v>-0.6495987000000002</v>
      </c>
      <c r="J1012" s="13">
        <f t="shared" ref="J1012:J1075" si="37">H1012+J1013</f>
        <v>256917.41000000003</v>
      </c>
    </row>
    <row r="1013" spans="1:10" x14ac:dyDescent="0.25">
      <c r="A1013" s="10">
        <v>43072.541666666664</v>
      </c>
      <c r="B1013" s="11" t="s">
        <v>2</v>
      </c>
      <c r="C1013" s="11" t="s">
        <v>5</v>
      </c>
      <c r="D1013" s="16" t="str">
        <f>HYPERLINK("https://freddywills.com/pick/6753/31-16-l47-nfl-picks-in-december-tampa-green-bay.html", "Green Bay -2.5 2.2% play ")</f>
        <v xml:space="preserve">Green Bay -2.5 2.2% play </v>
      </c>
      <c r="E1013" s="11">
        <v>2.2000000000000002</v>
      </c>
      <c r="F1013" s="11">
        <v>-1.1000000000000001</v>
      </c>
      <c r="G1013" s="11" t="s">
        <v>4</v>
      </c>
      <c r="H1013" s="13">
        <v>2000</v>
      </c>
      <c r="I1013" s="14">
        <f t="shared" si="36"/>
        <v>-0.67959870000000022</v>
      </c>
      <c r="J1013" s="13">
        <f t="shared" si="37"/>
        <v>253917.41000000003</v>
      </c>
    </row>
    <row r="1014" spans="1:10" x14ac:dyDescent="0.25">
      <c r="A1014" s="10">
        <v>43072.541666666664</v>
      </c>
      <c r="B1014" s="11" t="s">
        <v>2</v>
      </c>
      <c r="C1014" s="11" t="s">
        <v>5</v>
      </c>
      <c r="D1014" s="16" t="str">
        <f>HYPERLINK("https://freddywills.com/pick/6754/28-16-l44-max-nfl-pod-s-guaranteed-or-back.html", "Browns +14 5.5% NFL POD")</f>
        <v>Browns +14 5.5% NFL POD</v>
      </c>
      <c r="E1014" s="11">
        <v>5.5</v>
      </c>
      <c r="F1014" s="11">
        <v>-1.1000000000000001</v>
      </c>
      <c r="G1014" s="11" t="s">
        <v>4</v>
      </c>
      <c r="H1014" s="13">
        <v>5000</v>
      </c>
      <c r="I1014" s="14">
        <f t="shared" si="36"/>
        <v>-0.69959870000000024</v>
      </c>
      <c r="J1014" s="13">
        <f t="shared" si="37"/>
        <v>251917.41000000003</v>
      </c>
    </row>
    <row r="1015" spans="1:10" x14ac:dyDescent="0.25">
      <c r="A1015" s="10">
        <v>43071.833333333336</v>
      </c>
      <c r="B1015" s="11" t="s">
        <v>8</v>
      </c>
      <c r="C1015" s="11" t="s">
        <v>5</v>
      </c>
      <c r="D1015" s="16" t="str">
        <f>HYPERLINK("https://freddywills.com/pick/6749/acc-championship-game-4-2-ats-career-in-acc-championship-game-picks.html", "Clemson -10 2.2% play ")</f>
        <v xml:space="preserve">Clemson -10 2.2% play </v>
      </c>
      <c r="E1015" s="11">
        <v>2.2000000000000002</v>
      </c>
      <c r="F1015" s="11">
        <v>-1.1000000000000001</v>
      </c>
      <c r="G1015" s="11" t="s">
        <v>4</v>
      </c>
      <c r="H1015" s="13">
        <v>2000</v>
      </c>
      <c r="I1015" s="14">
        <f t="shared" si="36"/>
        <v>-0.74959870000000028</v>
      </c>
      <c r="J1015" s="13">
        <f t="shared" si="37"/>
        <v>246917.41000000003</v>
      </c>
    </row>
    <row r="1016" spans="1:10" x14ac:dyDescent="0.25">
      <c r="A1016" s="10">
        <v>43071.833333333336</v>
      </c>
      <c r="B1016" s="11" t="s">
        <v>8</v>
      </c>
      <c r="C1016" s="11" t="s">
        <v>18</v>
      </c>
      <c r="D1016" s="16" t="str">
        <f>HYPERLINK("https://freddywills.com/pick/6750/big-ten-championship-game-6-0-ats-all-time-big-ten-championship-picks.html", "Wisconsin +170 2% play ")</f>
        <v xml:space="preserve">Wisconsin +170 2% play </v>
      </c>
      <c r="E1016" s="11">
        <v>2</v>
      </c>
      <c r="F1016" s="11">
        <v>1.7</v>
      </c>
      <c r="G1016" s="11" t="s">
        <v>6</v>
      </c>
      <c r="H1016" s="13">
        <v>-2000</v>
      </c>
      <c r="I1016" s="14">
        <f t="shared" si="36"/>
        <v>-0.7695987000000003</v>
      </c>
      <c r="J1016" s="13">
        <f t="shared" si="37"/>
        <v>244917.41000000003</v>
      </c>
    </row>
    <row r="1017" spans="1:10" x14ac:dyDescent="0.25">
      <c r="A1017" s="10">
        <v>43071.822916666664</v>
      </c>
      <c r="B1017" s="11" t="s">
        <v>8</v>
      </c>
      <c r="C1017" s="11" t="s">
        <v>5</v>
      </c>
      <c r="D1017" s="16" t="str">
        <f>HYPERLINK("https://freddywills.com/pick/6746/mountain-west-conference-championship-3-3-play-256-197-l453-3-ncaaf-picks.html", "Fresno State +9 3.3% play ")</f>
        <v xml:space="preserve">Fresno State +9 3.3% play </v>
      </c>
      <c r="E1017" s="11">
        <v>3.3</v>
      </c>
      <c r="F1017" s="11">
        <v>-1.1000000000000001</v>
      </c>
      <c r="G1017" s="11" t="s">
        <v>4</v>
      </c>
      <c r="H1017" s="13">
        <v>3000</v>
      </c>
      <c r="I1017" s="14">
        <f t="shared" si="36"/>
        <v>-0.74959870000000028</v>
      </c>
      <c r="J1017" s="13">
        <f t="shared" si="37"/>
        <v>246917.41000000003</v>
      </c>
    </row>
    <row r="1018" spans="1:10" x14ac:dyDescent="0.25">
      <c r="A1018" s="10">
        <v>43071.789583333331</v>
      </c>
      <c r="B1018" s="11" t="s">
        <v>8</v>
      </c>
      <c r="C1018" s="11" t="s">
        <v>10</v>
      </c>
      <c r="D1018" s="16" t="str">
        <f>HYPERLINK("https://freddywills.com/pick/6742/teaser-of-the-week-56-ats-career-on-teasers-2-championship-games-guaranteed-or-back.html", "Oklahoma -1 / Georgia +8.5 4.4% Teaser of the week")</f>
        <v>Oklahoma -1 / Georgia +8.5 4.4% Teaser of the week</v>
      </c>
      <c r="E1018" s="11">
        <v>4.4000000000000004</v>
      </c>
      <c r="F1018" s="11">
        <v>-1.1000000000000001</v>
      </c>
      <c r="G1018" s="11" t="s">
        <v>4</v>
      </c>
      <c r="H1018" s="13">
        <v>4000</v>
      </c>
      <c r="I1018" s="14">
        <f t="shared" si="36"/>
        <v>-0.77959870000000031</v>
      </c>
      <c r="J1018" s="13">
        <f t="shared" si="37"/>
        <v>243917.41000000003</v>
      </c>
    </row>
    <row r="1019" spans="1:10" x14ac:dyDescent="0.25">
      <c r="A1019" s="10">
        <v>43071.666666666664</v>
      </c>
      <c r="B1019" s="11" t="s">
        <v>8</v>
      </c>
      <c r="C1019" s="11" t="s">
        <v>7</v>
      </c>
      <c r="D1019" s="16" t="str">
        <f>HYPERLINK("https://freddywills.com/pick/6747/sec-championship-game-total-play-5-3-ats-career-sec-championship-29-11-all-time.html", "Auburn / Georgia Under 48.5 2.2% play ")</f>
        <v xml:space="preserve">Auburn / Georgia Under 48.5 2.2% play </v>
      </c>
      <c r="E1019" s="11">
        <v>2.2000000000000002</v>
      </c>
      <c r="F1019" s="11">
        <v>-1.1000000000000001</v>
      </c>
      <c r="G1019" s="11" t="s">
        <v>4</v>
      </c>
      <c r="H1019" s="13">
        <v>2000</v>
      </c>
      <c r="I1019" s="14">
        <f t="shared" si="36"/>
        <v>-0.81959870000000035</v>
      </c>
      <c r="J1019" s="13">
        <f t="shared" si="37"/>
        <v>239917.41000000003</v>
      </c>
    </row>
    <row r="1020" spans="1:10" x14ac:dyDescent="0.25">
      <c r="A1020" s="10">
        <v>43071.520833333336</v>
      </c>
      <c r="B1020" s="11" t="s">
        <v>8</v>
      </c>
      <c r="C1020" s="11" t="s">
        <v>18</v>
      </c>
      <c r="D1020" s="16" t="str">
        <f>HYPERLINK("https://freddywills.com/pick/6748/money-line-dog-of-the-week-250-or-higher-guaranteed-or-back.html", "South Alabama +315 2% play ")</f>
        <v xml:space="preserve">South Alabama +315 2% play </v>
      </c>
      <c r="E1020" s="11">
        <v>2</v>
      </c>
      <c r="F1020" s="11">
        <v>3.15</v>
      </c>
      <c r="G1020" s="11" t="s">
        <v>6</v>
      </c>
      <c r="H1020" s="13">
        <v>-2000</v>
      </c>
      <c r="I1020" s="14">
        <f t="shared" si="36"/>
        <v>-0.83959870000000036</v>
      </c>
      <c r="J1020" s="13">
        <f t="shared" si="37"/>
        <v>237917.41000000003</v>
      </c>
    </row>
    <row r="1021" spans="1:10" x14ac:dyDescent="0.25">
      <c r="A1021" s="10">
        <v>43071.5</v>
      </c>
      <c r="B1021" s="11" t="s">
        <v>8</v>
      </c>
      <c r="C1021" s="11" t="s">
        <v>5</v>
      </c>
      <c r="D1021" s="16" t="str">
        <f>HYPERLINK("https://freddywills.com/pick/6741/r-a-r-e-max-ncaaf-pod-aac-championship-game-memphis-vs-ucf.html", "Memphis +7.5 5.5% POD / Memphis +250 1%")</f>
        <v>Memphis +7.5 5.5% POD / Memphis +250 1%</v>
      </c>
      <c r="E1021" s="11">
        <v>6.5</v>
      </c>
      <c r="F1021" s="11">
        <v>-1.1000000000000001</v>
      </c>
      <c r="G1021" s="11" t="s">
        <v>4</v>
      </c>
      <c r="H1021" s="13">
        <v>4000</v>
      </c>
      <c r="I1021" s="14">
        <f t="shared" si="36"/>
        <v>-0.81959870000000035</v>
      </c>
      <c r="J1021" s="13">
        <f t="shared" si="37"/>
        <v>239917.41000000003</v>
      </c>
    </row>
    <row r="1022" spans="1:10" x14ac:dyDescent="0.25">
      <c r="A1022" s="10">
        <v>43071.5</v>
      </c>
      <c r="B1022" s="11" t="s">
        <v>8</v>
      </c>
      <c r="C1022" s="11" t="s">
        <v>5</v>
      </c>
      <c r="D1022" s="16" t="str">
        <f>HYPERLINK("https://freddywills.com/pick/6743/saturday-s-free-play-c-usa-championship.html", "Florida Atlantic -11 1.1% Free play ")</f>
        <v xml:space="preserve">Florida Atlantic -11 1.1% Free play </v>
      </c>
      <c r="E1022" s="11">
        <v>1.1000000000000001</v>
      </c>
      <c r="F1022" s="11">
        <v>-1.1000000000000001</v>
      </c>
      <c r="G1022" s="11" t="s">
        <v>4</v>
      </c>
      <c r="H1022" s="13">
        <v>1000</v>
      </c>
      <c r="I1022" s="14">
        <f t="shared" si="36"/>
        <v>-0.85959870000000038</v>
      </c>
      <c r="J1022" s="13">
        <f t="shared" si="37"/>
        <v>235917.41000000003</v>
      </c>
    </row>
    <row r="1023" spans="1:10" x14ac:dyDescent="0.25">
      <c r="A1023" s="10">
        <v>43071.5</v>
      </c>
      <c r="B1023" s="11" t="s">
        <v>8</v>
      </c>
      <c r="C1023" s="11" t="s">
        <v>18</v>
      </c>
      <c r="D1023" s="16" t="str">
        <f>HYPERLINK("https://freddywills.com/pick/6745/umass-vs-florida-international-guaranteed-or-back-4-5-170-125-295-4-plays.html", "Umass +100 4.5% play")</f>
        <v>Umass +100 4.5% play</v>
      </c>
      <c r="E1023" s="11">
        <v>4.5</v>
      </c>
      <c r="F1023" s="11">
        <v>1</v>
      </c>
      <c r="G1023" s="11" t="s">
        <v>6</v>
      </c>
      <c r="H1023" s="13">
        <v>-4500</v>
      </c>
      <c r="I1023" s="14">
        <f t="shared" si="36"/>
        <v>-0.86959870000000039</v>
      </c>
      <c r="J1023" s="13">
        <f t="shared" si="37"/>
        <v>234917.41000000003</v>
      </c>
    </row>
    <row r="1024" spans="1:10" x14ac:dyDescent="0.25">
      <c r="A1024" s="10">
        <v>43070.833333333336</v>
      </c>
      <c r="B1024" s="11" t="s">
        <v>8</v>
      </c>
      <c r="C1024" s="11" t="s">
        <v>7</v>
      </c>
      <c r="D1024" s="16" t="str">
        <f>HYPERLINK("https://freddywills.com/pick/6744/pac-12-championship-game-total-play-guaranteed-or-back.html", "USC / Stanford Under 58.5 3.3% play ")</f>
        <v xml:space="preserve">USC / Stanford Under 58.5 3.3% play </v>
      </c>
      <c r="E1024" s="11">
        <v>3.3</v>
      </c>
      <c r="F1024" s="11">
        <v>-1.1000000000000001</v>
      </c>
      <c r="G1024" s="11" t="s">
        <v>6</v>
      </c>
      <c r="H1024" s="13">
        <v>-3300</v>
      </c>
      <c r="I1024" s="14">
        <f t="shared" si="36"/>
        <v>-0.82459870000000035</v>
      </c>
      <c r="J1024" s="13">
        <f t="shared" si="37"/>
        <v>239417.41000000003</v>
      </c>
    </row>
    <row r="1025" spans="1:10" x14ac:dyDescent="0.25">
      <c r="A1025" s="10">
        <v>43064.833333333336</v>
      </c>
      <c r="B1025" s="11" t="s">
        <v>8</v>
      </c>
      <c r="C1025" s="11" t="s">
        <v>5</v>
      </c>
      <c r="D1025" s="16" t="str">
        <f>HYPERLINK("https://freddywills.com/pick/6735/4-4-ncaaf-pod-saturday-guaranteed-or-back-notre-dame-vs-stanford.html", "Notre Dame -2 4.4% POD")</f>
        <v>Notre Dame -2 4.4% POD</v>
      </c>
      <c r="E1025" s="11">
        <v>4.4000000000000004</v>
      </c>
      <c r="F1025" s="11">
        <v>-1.1000000000000001</v>
      </c>
      <c r="G1025" s="11" t="s">
        <v>6</v>
      </c>
      <c r="H1025" s="13">
        <v>-4400</v>
      </c>
      <c r="I1025" s="14">
        <f t="shared" si="36"/>
        <v>-0.79159870000000032</v>
      </c>
      <c r="J1025" s="13">
        <f t="shared" si="37"/>
        <v>242717.41000000003</v>
      </c>
    </row>
    <row r="1026" spans="1:10" x14ac:dyDescent="0.25">
      <c r="A1026" s="10">
        <v>43064.833333333336</v>
      </c>
      <c r="B1026" s="11" t="s">
        <v>8</v>
      </c>
      <c r="C1026" s="11" t="s">
        <v>5</v>
      </c>
      <c r="D1026" s="16" t="str">
        <f>HYPERLINK("https://freddywills.com/pick/6736/apple-cup-washington-vs-washington-state-guaranteed-or-back.html", "Washington State +10.5 3.3% play ")</f>
        <v xml:space="preserve">Washington State +10.5 3.3% play </v>
      </c>
      <c r="E1026" s="11">
        <v>3.3</v>
      </c>
      <c r="F1026" s="11">
        <v>-1.1000000000000001</v>
      </c>
      <c r="G1026" s="11" t="s">
        <v>6</v>
      </c>
      <c r="H1026" s="13">
        <v>-3300</v>
      </c>
      <c r="I1026" s="14">
        <f t="shared" si="36"/>
        <v>-0.74759870000000028</v>
      </c>
      <c r="J1026" s="13">
        <f t="shared" si="37"/>
        <v>247117.41000000003</v>
      </c>
    </row>
    <row r="1027" spans="1:10" x14ac:dyDescent="0.25">
      <c r="A1027" s="10">
        <v>43064.645833333336</v>
      </c>
      <c r="B1027" s="11" t="s">
        <v>8</v>
      </c>
      <c r="C1027" s="11" t="s">
        <v>5</v>
      </c>
      <c r="D1027" s="16" t="str">
        <f>HYPERLINK("https://freddywills.com/pick/6738/iron-bowl-alabama-vs-auburn-guaranteed-or-back.html", "Auburn +5 3.3% play / Auburn +175 1% play ")</f>
        <v xml:space="preserve">Auburn +5 3.3% play / Auburn +175 1% play </v>
      </c>
      <c r="E1027" s="11">
        <v>4.3</v>
      </c>
      <c r="F1027" s="11">
        <v>-1.1000000000000001</v>
      </c>
      <c r="G1027" s="11" t="s">
        <v>4</v>
      </c>
      <c r="H1027" s="13">
        <v>3909</v>
      </c>
      <c r="I1027" s="14">
        <f t="shared" si="36"/>
        <v>-0.71459870000000025</v>
      </c>
      <c r="J1027" s="13">
        <f t="shared" si="37"/>
        <v>250417.41000000003</v>
      </c>
    </row>
    <row r="1028" spans="1:10" x14ac:dyDescent="0.25">
      <c r="A1028" s="10">
        <v>43064.645833333336</v>
      </c>
      <c r="B1028" s="11" t="s">
        <v>8</v>
      </c>
      <c r="C1028" s="11" t="s">
        <v>7</v>
      </c>
      <c r="D1028" s="16" t="str">
        <f>HYPERLINK("https://freddywills.com/pick/6739/total-of-the-week-iowa-state-vs-kansas-state-guaranteed-or-back.html", "Iowa State / Kansas State Under 49.5 3.3% ")</f>
        <v xml:space="preserve">Iowa State / Kansas State Under 49.5 3.3% </v>
      </c>
      <c r="E1028" s="11">
        <v>3.3</v>
      </c>
      <c r="F1028" s="11">
        <v>-1.1000000000000001</v>
      </c>
      <c r="G1028" s="11" t="s">
        <v>4</v>
      </c>
      <c r="H1028" s="13">
        <v>3000</v>
      </c>
      <c r="I1028" s="14">
        <f t="shared" si="36"/>
        <v>-0.75368870000000021</v>
      </c>
      <c r="J1028" s="13">
        <f t="shared" si="37"/>
        <v>246508.41000000003</v>
      </c>
    </row>
    <row r="1029" spans="1:10" x14ac:dyDescent="0.25">
      <c r="A1029" s="10">
        <v>43064.604166666664</v>
      </c>
      <c r="B1029" s="11" t="s">
        <v>8</v>
      </c>
      <c r="C1029" s="11" t="s">
        <v>18</v>
      </c>
      <c r="D1029" s="16" t="str">
        <f>HYPERLINK("https://freddywills.com/pick/6737/c-usa-game-of-the-week-guaranteed-or-back.html", "Southern Miss +132 3.5% play ")</f>
        <v xml:space="preserve">Southern Miss +132 3.5% play </v>
      </c>
      <c r="E1029" s="11">
        <v>3.5</v>
      </c>
      <c r="F1029" s="11">
        <v>1.32</v>
      </c>
      <c r="G1029" s="11" t="s">
        <v>4</v>
      </c>
      <c r="H1029" s="13">
        <v>4620</v>
      </c>
      <c r="I1029" s="14">
        <f t="shared" si="36"/>
        <v>-0.78368870000000024</v>
      </c>
      <c r="J1029" s="13">
        <f t="shared" si="37"/>
        <v>243508.41000000003</v>
      </c>
    </row>
    <row r="1030" spans="1:10" x14ac:dyDescent="0.25">
      <c r="A1030" s="10">
        <v>43064.5</v>
      </c>
      <c r="B1030" s="11" t="s">
        <v>8</v>
      </c>
      <c r="C1030" s="11" t="s">
        <v>7</v>
      </c>
      <c r="D1030" s="16" t="str">
        <f>HYPERLINK("https://freddywills.com/pick/6740/indiana-vs-purdue-rivalry-game-total-old-oaken-bucket.html", "Indiana/Purdue Under 52 2.2% ")</f>
        <v xml:space="preserve">Indiana/Purdue Under 52 2.2% </v>
      </c>
      <c r="E1030" s="11">
        <v>2.2000000000000002</v>
      </c>
      <c r="F1030" s="11">
        <v>-1.1000000000000001</v>
      </c>
      <c r="G1030" s="11" t="s">
        <v>6</v>
      </c>
      <c r="H1030" s="13">
        <v>-2200</v>
      </c>
      <c r="I1030" s="14">
        <f t="shared" si="36"/>
        <v>-0.82988870000000026</v>
      </c>
      <c r="J1030" s="13">
        <f t="shared" si="37"/>
        <v>238888.41000000003</v>
      </c>
    </row>
    <row r="1031" spans="1:10" x14ac:dyDescent="0.25">
      <c r="A1031" s="10">
        <v>43063.9375</v>
      </c>
      <c r="B1031" s="11" t="s">
        <v>8</v>
      </c>
      <c r="C1031" s="11" t="s">
        <v>5</v>
      </c>
      <c r="D1031" s="16" t="str">
        <f>HYPERLINK("https://freddywills.com/pick/6731/friday-s-college-football-play-of-the-day-california-vs-ucla-169-124-ats-l293-4-bankroll-plays.html", "California +7 4.4% POD / California +235 1%")</f>
        <v>California +7 4.4% POD / California +235 1%</v>
      </c>
      <c r="E1031" s="11">
        <v>5.4</v>
      </c>
      <c r="F1031" s="11">
        <v>-1.1000000000000001</v>
      </c>
      <c r="G1031" s="11" t="s">
        <v>4</v>
      </c>
      <c r="H1031" s="13">
        <v>3000</v>
      </c>
      <c r="I1031" s="14">
        <f t="shared" si="36"/>
        <v>-0.80788870000000024</v>
      </c>
      <c r="J1031" s="13">
        <f t="shared" si="37"/>
        <v>241088.41000000003</v>
      </c>
    </row>
    <row r="1032" spans="1:10" x14ac:dyDescent="0.25">
      <c r="A1032" s="10">
        <v>43063.791666666664</v>
      </c>
      <c r="B1032" s="11" t="s">
        <v>8</v>
      </c>
      <c r="C1032" s="11" t="s">
        <v>5</v>
      </c>
      <c r="D1032" s="16" t="str">
        <f>HYPERLINK("https://freddywills.com/pick/6734/western-kentucky-vs-florida-international-guaranteed-pick-or-your-back.html", "Western Kentucky -2.5 2.2% play ")</f>
        <v xml:space="preserve">Western Kentucky -2.5 2.2% play </v>
      </c>
      <c r="E1032" s="11">
        <v>2.2000000000000002</v>
      </c>
      <c r="F1032" s="11">
        <v>-1.1000000000000001</v>
      </c>
      <c r="G1032" s="11" t="s">
        <v>6</v>
      </c>
      <c r="H1032" s="13">
        <v>-2200</v>
      </c>
      <c r="I1032" s="14">
        <f t="shared" si="36"/>
        <v>-0.83788870000000026</v>
      </c>
      <c r="J1032" s="13">
        <f t="shared" si="37"/>
        <v>238088.41000000003</v>
      </c>
    </row>
    <row r="1033" spans="1:10" x14ac:dyDescent="0.25">
      <c r="A1033" s="10">
        <v>43063.5</v>
      </c>
      <c r="B1033" s="11" t="s">
        <v>8</v>
      </c>
      <c r="C1033" s="11" t="s">
        <v>5</v>
      </c>
      <c r="D1033" s="16" t="str">
        <f>HYPERLINK("https://freddywills.com/pick/6732/mac-game-of-the-week-3-bankroll-play-254-194-ats-l448-3-bankroll-plays.html", "Northern Illinois -3 3.3% play ")</f>
        <v xml:space="preserve">Northern Illinois -3 3.3% play </v>
      </c>
      <c r="E1033" s="11">
        <v>3.3</v>
      </c>
      <c r="F1033" s="11">
        <v>-1.1000000000000001</v>
      </c>
      <c r="G1033" s="11" t="s">
        <v>6</v>
      </c>
      <c r="H1033" s="13">
        <v>-3300</v>
      </c>
      <c r="I1033" s="14">
        <f t="shared" si="36"/>
        <v>-0.81588870000000024</v>
      </c>
      <c r="J1033" s="13">
        <f t="shared" si="37"/>
        <v>240288.41000000003</v>
      </c>
    </row>
    <row r="1034" spans="1:10" x14ac:dyDescent="0.25">
      <c r="A1034" s="10">
        <v>43062.861805555556</v>
      </c>
      <c r="B1034" s="11" t="s">
        <v>8</v>
      </c>
      <c r="C1034" s="11" t="s">
        <v>5</v>
      </c>
      <c r="D1034" s="16" t="str">
        <f>HYPERLINK("https://freddywills.com/pick/6733/navy-vs-houston-free-play-of-the-week-27-17-ats-l44-1-bankroll-plays.html", "Navy +4.5 1.1% Free Play ")</f>
        <v xml:space="preserve">Navy +4.5 1.1% Free Play </v>
      </c>
      <c r="E1034" s="11">
        <v>1.1000000000000001</v>
      </c>
      <c r="F1034" s="11">
        <v>-1.1000000000000001</v>
      </c>
      <c r="G1034" s="11" t="s">
        <v>6</v>
      </c>
      <c r="H1034" s="13">
        <v>-1100</v>
      </c>
      <c r="I1034" s="14">
        <f t="shared" si="36"/>
        <v>-0.78288870000000021</v>
      </c>
      <c r="J1034" s="13">
        <f t="shared" si="37"/>
        <v>243588.41000000003</v>
      </c>
    </row>
    <row r="1035" spans="1:10" x14ac:dyDescent="0.25">
      <c r="A1035" s="10">
        <v>43062.684027777781</v>
      </c>
      <c r="B1035" s="11" t="s">
        <v>2</v>
      </c>
      <c r="C1035" s="11" t="s">
        <v>10</v>
      </c>
      <c r="D1035" s="16" t="str">
        <f>HYPERLINK("https://freddywills.com/pick/6729/thanksgiving-day-nfl-teaser-guaranteed-or-back.html", "Cowboys +8.5 / Redskins -1 3.3% Teaser")</f>
        <v>Cowboys +8.5 / Redskins -1 3.3% Teaser</v>
      </c>
      <c r="E1035" s="11">
        <v>3.3</v>
      </c>
      <c r="F1035" s="11">
        <v>-1.1000000000000001</v>
      </c>
      <c r="G1035" s="11" t="s">
        <v>6</v>
      </c>
      <c r="H1035" s="13">
        <v>-3300</v>
      </c>
      <c r="I1035" s="14">
        <f t="shared" si="36"/>
        <v>-0.77188870000000021</v>
      </c>
      <c r="J1035" s="13">
        <f t="shared" si="37"/>
        <v>244688.41000000003</v>
      </c>
    </row>
    <row r="1036" spans="1:10" x14ac:dyDescent="0.25">
      <c r="A1036" s="10">
        <v>43062.674305555556</v>
      </c>
      <c r="B1036" s="11" t="s">
        <v>8</v>
      </c>
      <c r="C1036" s="11" t="s">
        <v>5</v>
      </c>
      <c r="D1036" s="16" t="str">
        <f>HYPERLINK("https://freddywills.com/pick/6730/egg-bowl-premium-play-ole-miss-vs-miss-state-guaranteed-or-back.html", "Miss State -14 -120 buy 1/2 - 3% Play ")</f>
        <v xml:space="preserve">Miss State -14 -120 buy 1/2 - 3% Play </v>
      </c>
      <c r="E1036" s="11">
        <v>3</v>
      </c>
      <c r="F1036" s="11">
        <v>-1.2</v>
      </c>
      <c r="G1036" s="11" t="s">
        <v>6</v>
      </c>
      <c r="H1036" s="13">
        <v>-3000</v>
      </c>
      <c r="I1036" s="14">
        <f t="shared" si="36"/>
        <v>-0.73888870000000018</v>
      </c>
      <c r="J1036" s="13">
        <f t="shared" si="37"/>
        <v>247988.41000000003</v>
      </c>
    </row>
    <row r="1037" spans="1:10" x14ac:dyDescent="0.25">
      <c r="A1037" s="10">
        <v>43062.520833333336</v>
      </c>
      <c r="B1037" s="11" t="s">
        <v>2</v>
      </c>
      <c r="C1037" s="11" t="s">
        <v>5</v>
      </c>
      <c r="D1037" s="16" t="str">
        <f>HYPERLINK("https://freddywills.com/pick/6728/4-4-nfl-pod-early-thanksgiving-play-lions-vs-vikings.html", "Lions +3 4.4% NFL POD")</f>
        <v>Lions +3 4.4% NFL POD</v>
      </c>
      <c r="E1037" s="11">
        <v>4.4000000000000004</v>
      </c>
      <c r="F1037" s="11">
        <v>-1.1000000000000001</v>
      </c>
      <c r="G1037" s="11" t="s">
        <v>6</v>
      </c>
      <c r="H1037" s="13">
        <v>-4400</v>
      </c>
      <c r="I1037" s="14">
        <f t="shared" si="36"/>
        <v>-0.70888870000000015</v>
      </c>
      <c r="J1037" s="13">
        <f t="shared" si="37"/>
        <v>250988.41000000003</v>
      </c>
    </row>
    <row r="1038" spans="1:10" x14ac:dyDescent="0.25">
      <c r="A1038" s="10">
        <v>43058.670138888891</v>
      </c>
      <c r="B1038" s="11" t="s">
        <v>2</v>
      </c>
      <c r="C1038" s="11" t="s">
        <v>5</v>
      </c>
      <c r="D1038" s="16" t="str">
        <f>HYPERLINK("https://freddywills.com/pick/6726/5-5-nfl-play-of-the-day-buffalo-la-chargers.html", "Bills +7 5.5% NFL POD")</f>
        <v>Bills +7 5.5% NFL POD</v>
      </c>
      <c r="E1038" s="11">
        <v>5.5</v>
      </c>
      <c r="F1038" s="11">
        <v>-1.1000000000000001</v>
      </c>
      <c r="G1038" s="11" t="s">
        <v>6</v>
      </c>
      <c r="H1038" s="13">
        <v>-5500</v>
      </c>
      <c r="I1038" s="14">
        <f t="shared" si="36"/>
        <v>-0.66488870000000011</v>
      </c>
      <c r="J1038" s="13">
        <f t="shared" si="37"/>
        <v>255388.41000000003</v>
      </c>
    </row>
    <row r="1039" spans="1:10" x14ac:dyDescent="0.25">
      <c r="A1039" s="10">
        <v>43058.541666666664</v>
      </c>
      <c r="B1039" s="11" t="s">
        <v>2</v>
      </c>
      <c r="C1039" s="11" t="s">
        <v>7</v>
      </c>
      <c r="D1039" s="16" t="str">
        <f>HYPERLINK("https://freddywills.com/pick/6725/nfl-total-play-minnesota-vs-la-rams-guaranteed-or-back.html", "Rams/Vikings Under 46 3.3% play ")</f>
        <v xml:space="preserve">Rams/Vikings Under 46 3.3% play </v>
      </c>
      <c r="E1039" s="11">
        <v>3.3</v>
      </c>
      <c r="F1039" s="11">
        <v>-1.1000000000000001</v>
      </c>
      <c r="G1039" s="11" t="s">
        <v>4</v>
      </c>
      <c r="H1039" s="13">
        <v>3000</v>
      </c>
      <c r="I1039" s="14">
        <f t="shared" si="36"/>
        <v>-0.60988870000000006</v>
      </c>
      <c r="J1039" s="13">
        <f t="shared" si="37"/>
        <v>260888.41000000003</v>
      </c>
    </row>
    <row r="1040" spans="1:10" x14ac:dyDescent="0.25">
      <c r="A1040" s="10">
        <v>43058.459027777775</v>
      </c>
      <c r="B1040" s="11" t="s">
        <v>2</v>
      </c>
      <c r="C1040" s="11" t="s">
        <v>5</v>
      </c>
      <c r="D1040" s="16" t="str">
        <f>HYPERLINK("https://freddywills.com/pick/6727/two-play-late-day-action-guaranteed-2-0-or-1-day-is-free.html", "Raiders +7 / Cowboys +6 2.2% each. ")</f>
        <v xml:space="preserve">Raiders +7 / Cowboys +6 2.2% each. </v>
      </c>
      <c r="E1040" s="11">
        <v>4.4000000000000004</v>
      </c>
      <c r="F1040" s="11">
        <v>-1.1000000000000001</v>
      </c>
      <c r="G1040" s="11" t="s">
        <v>6</v>
      </c>
      <c r="H1040" s="13">
        <v>-4400</v>
      </c>
      <c r="I1040" s="14">
        <f t="shared" si="36"/>
        <v>-0.63988870000000009</v>
      </c>
      <c r="J1040" s="13">
        <f t="shared" si="37"/>
        <v>257888.41000000003</v>
      </c>
    </row>
    <row r="1041" spans="1:10" x14ac:dyDescent="0.25">
      <c r="A1041" s="10">
        <v>43057.833333333336</v>
      </c>
      <c r="B1041" s="11" t="s">
        <v>8</v>
      </c>
      <c r="C1041" s="11" t="s">
        <v>5</v>
      </c>
      <c r="D1041" s="16" t="str">
        <f>HYPERLINK("https://freddywills.com/pick/6721/pac-12-game-of-the-week-3-3-bankroll-play-guaranteed-or-back.html", "Cal +16 3.3% play ")</f>
        <v xml:space="preserve">Cal +16 3.3% play </v>
      </c>
      <c r="E1041" s="11">
        <v>3.3</v>
      </c>
      <c r="F1041" s="11">
        <v>-1.1000000000000001</v>
      </c>
      <c r="G1041" s="11" t="s">
        <v>4</v>
      </c>
      <c r="H1041" s="13">
        <v>3000</v>
      </c>
      <c r="I1041" s="14">
        <f t="shared" si="36"/>
        <v>-0.59588870000000005</v>
      </c>
      <c r="J1041" s="13">
        <f t="shared" si="37"/>
        <v>262288.41000000003</v>
      </c>
    </row>
    <row r="1042" spans="1:10" x14ac:dyDescent="0.25">
      <c r="A1042" s="10">
        <v>43057.813194444447</v>
      </c>
      <c r="B1042" s="11" t="s">
        <v>8</v>
      </c>
      <c r="C1042" s="11" t="s">
        <v>18</v>
      </c>
      <c r="D1042" s="16" t="str">
        <f>HYPERLINK("https://freddywills.com/pick/6716/money-line-dog-of-the-week-280-or-more-hit-295-last-week.html", "Vanderbilt +280 2% play ")</f>
        <v xml:space="preserve">Vanderbilt +280 2% play </v>
      </c>
      <c r="E1042" s="11">
        <v>2</v>
      </c>
      <c r="F1042" s="11">
        <v>2.8</v>
      </c>
      <c r="G1042" s="11" t="s">
        <v>6</v>
      </c>
      <c r="H1042" s="13">
        <v>-2000</v>
      </c>
      <c r="I1042" s="14">
        <f t="shared" si="36"/>
        <v>-0.62588870000000008</v>
      </c>
      <c r="J1042" s="13">
        <f t="shared" si="37"/>
        <v>259288.41000000003</v>
      </c>
    </row>
    <row r="1043" spans="1:10" x14ac:dyDescent="0.25">
      <c r="A1043" s="10">
        <v>43057.791666666664</v>
      </c>
      <c r="B1043" s="11" t="s">
        <v>8</v>
      </c>
      <c r="C1043" s="11" t="s">
        <v>18</v>
      </c>
      <c r="D1043" s="16" t="str">
        <f>HYPERLINK("https://freddywills.com/pick/6723/1-free-college-football-play-26-8-ats-l34-free-plays.html", "Texas A&amp;M +125 1% Free Play ")</f>
        <v xml:space="preserve">Texas A&amp;M +125 1% Free Play </v>
      </c>
      <c r="E1043" s="11">
        <v>1</v>
      </c>
      <c r="F1043" s="11">
        <v>1.25</v>
      </c>
      <c r="G1043" s="11" t="s">
        <v>4</v>
      </c>
      <c r="H1043" s="13">
        <v>1250</v>
      </c>
      <c r="I1043" s="14">
        <f t="shared" si="36"/>
        <v>-0.60588870000000006</v>
      </c>
      <c r="J1043" s="13">
        <f t="shared" si="37"/>
        <v>261288.41000000003</v>
      </c>
    </row>
    <row r="1044" spans="1:10" x14ac:dyDescent="0.25">
      <c r="A1044" s="10">
        <v>43057.645833333336</v>
      </c>
      <c r="B1044" s="11" t="s">
        <v>8</v>
      </c>
      <c r="C1044" s="11" t="s">
        <v>5</v>
      </c>
      <c r="D1044" s="16" t="str">
        <f>HYPERLINK("https://freddywills.com/pick/6718/5-5-ncaaf-max-pod-iowa-vs-purdue-guaranteed-or-back.html", "Purdue +8 5.5% POD / Purdue +250 1% ")</f>
        <v xml:space="preserve">Purdue +8 5.5% POD / Purdue +250 1% </v>
      </c>
      <c r="E1044" s="11">
        <v>5.5</v>
      </c>
      <c r="F1044" s="11">
        <v>-1.1000000000000001</v>
      </c>
      <c r="G1044" s="11" t="s">
        <v>4</v>
      </c>
      <c r="H1044" s="13">
        <v>7500</v>
      </c>
      <c r="I1044" s="14">
        <f t="shared" si="36"/>
        <v>-0.61838870000000001</v>
      </c>
      <c r="J1044" s="13">
        <f t="shared" si="37"/>
        <v>260038.41000000003</v>
      </c>
    </row>
    <row r="1045" spans="1:10" x14ac:dyDescent="0.25">
      <c r="A1045" s="10">
        <v>43057.583333333336</v>
      </c>
      <c r="B1045" s="11" t="s">
        <v>8</v>
      </c>
      <c r="C1045" s="11" t="s">
        <v>5</v>
      </c>
      <c r="D1045" s="16" t="str">
        <f>HYPERLINK("https://freddywills.com/pick/6717/mountain-west-game-of-the-week-guaranteed-or-back.html", "Fresno State -2.5 3.3% Play ")</f>
        <v xml:space="preserve">Fresno State -2.5 3.3% Play </v>
      </c>
      <c r="E1045" s="11">
        <v>3.3</v>
      </c>
      <c r="F1045" s="11">
        <v>-1.1000000000000001</v>
      </c>
      <c r="G1045" s="11" t="s">
        <v>4</v>
      </c>
      <c r="H1045" s="13">
        <v>3000</v>
      </c>
      <c r="I1045" s="14">
        <f t="shared" si="36"/>
        <v>-0.69338869999999997</v>
      </c>
      <c r="J1045" s="13">
        <f t="shared" si="37"/>
        <v>252538.41000000003</v>
      </c>
    </row>
    <row r="1046" spans="1:10" x14ac:dyDescent="0.25">
      <c r="A1046" s="10">
        <v>43057.501388888886</v>
      </c>
      <c r="B1046" s="11" t="s">
        <v>8</v>
      </c>
      <c r="C1046" s="11" t="s">
        <v>5</v>
      </c>
      <c r="D1046" s="16" t="str">
        <f>HYPERLINK("https://freddywills.com/pick/6722/3-3-bankroll-play-auburn-vs-la-monroe.html", "LA Monroe +37 3.3% Play ")</f>
        <v xml:space="preserve">LA Monroe +37 3.3% Play </v>
      </c>
      <c r="E1046" s="11">
        <v>3.3</v>
      </c>
      <c r="F1046" s="11">
        <v>-1.1000000000000001</v>
      </c>
      <c r="G1046" s="11" t="s">
        <v>4</v>
      </c>
      <c r="H1046" s="13">
        <v>3000</v>
      </c>
      <c r="I1046" s="14">
        <f t="shared" si="36"/>
        <v>-0.7233887</v>
      </c>
      <c r="J1046" s="13">
        <f t="shared" si="37"/>
        <v>249538.41000000003</v>
      </c>
    </row>
    <row r="1047" spans="1:10" x14ac:dyDescent="0.25">
      <c r="A1047" s="10">
        <v>43057.5</v>
      </c>
      <c r="B1047" s="11" t="s">
        <v>8</v>
      </c>
      <c r="C1047" s="11" t="s">
        <v>5</v>
      </c>
      <c r="D1047" s="16" t="str">
        <f>HYPERLINK("https://freddywills.com/pick/6715/michigan-vs-wisconsin-4-bankroll-play-169-122-ats-l291-4-ncaaf-picks.html", "Michigan +7.5 4.4% Play")</f>
        <v>Michigan +7.5 4.4% Play</v>
      </c>
      <c r="E1047" s="11">
        <v>4.4000000000000004</v>
      </c>
      <c r="F1047" s="11">
        <v>-1.1000000000000001</v>
      </c>
      <c r="G1047" s="11" t="s">
        <v>6</v>
      </c>
      <c r="H1047" s="13">
        <v>-4400</v>
      </c>
      <c r="I1047" s="14">
        <f t="shared" si="36"/>
        <v>-0.75338870000000002</v>
      </c>
      <c r="J1047" s="13">
        <f t="shared" si="37"/>
        <v>246538.41000000003</v>
      </c>
    </row>
    <row r="1048" spans="1:10" x14ac:dyDescent="0.25">
      <c r="A1048" s="10">
        <v>43057.5</v>
      </c>
      <c r="B1048" s="11" t="s">
        <v>8</v>
      </c>
      <c r="C1048" s="11" t="s">
        <v>5</v>
      </c>
      <c r="D1048" s="16" t="str">
        <f>HYPERLINK("https://freddywills.com/pick/6720/texas-vs-west-virginia-guaranteed-or-back.html", "Texas +3.5 3.3% Play ")</f>
        <v xml:space="preserve">Texas +3.5 3.3% Play </v>
      </c>
      <c r="E1048" s="11">
        <v>3.3</v>
      </c>
      <c r="F1048" s="11">
        <v>-1.1000000000000001</v>
      </c>
      <c r="G1048" s="11" t="s">
        <v>4</v>
      </c>
      <c r="H1048" s="13">
        <v>3000</v>
      </c>
      <c r="I1048" s="14">
        <f t="shared" si="36"/>
        <v>-0.70938869999999998</v>
      </c>
      <c r="J1048" s="13">
        <f t="shared" si="37"/>
        <v>250938.41000000003</v>
      </c>
    </row>
    <row r="1049" spans="1:10" x14ac:dyDescent="0.25">
      <c r="A1049" s="10">
        <v>43057</v>
      </c>
      <c r="B1049" s="11" t="s">
        <v>8</v>
      </c>
      <c r="C1049" s="11" t="s">
        <v>5</v>
      </c>
      <c r="D1049" s="16" t="str">
        <f>HYPERLINK("https://freddywills.com/pick/6719/aac-game-of-the-week-temple-vs-central-florida.html", "Temple +14 3.3% play / Temple +447 1% play")</f>
        <v>Temple +14 3.3% play / Temple +447 1% play</v>
      </c>
      <c r="E1049" s="11">
        <v>3.3</v>
      </c>
      <c r="F1049" s="11">
        <v>-1.1000000000000001</v>
      </c>
      <c r="G1049" s="11" t="s">
        <v>6</v>
      </c>
      <c r="H1049" s="13">
        <v>-4300</v>
      </c>
      <c r="I1049" s="14">
        <f t="shared" si="36"/>
        <v>-0.73938870000000001</v>
      </c>
      <c r="J1049" s="13">
        <f t="shared" si="37"/>
        <v>247938.41000000003</v>
      </c>
    </row>
    <row r="1050" spans="1:10" x14ac:dyDescent="0.25">
      <c r="A1050" s="10">
        <v>43056.833333333336</v>
      </c>
      <c r="B1050" s="11" t="s">
        <v>8</v>
      </c>
      <c r="C1050" s="11" t="s">
        <v>5</v>
      </c>
      <c r="D1050" s="16" t="str">
        <f>HYPERLINK("https://freddywills.com/pick/6724/friday-night-lights-guaranteed-or-back-saturday-s-8-play-card-free.html", "MTSU -3 -105 2.5% PLAY")</f>
        <v>MTSU -3 -105 2.5% PLAY</v>
      </c>
      <c r="E1050" s="11">
        <v>2.5</v>
      </c>
      <c r="F1050" s="11">
        <v>-1.05</v>
      </c>
      <c r="G1050" s="11" t="s">
        <v>6</v>
      </c>
      <c r="H1050" s="13">
        <v>-2500</v>
      </c>
      <c r="I1050" s="14">
        <f t="shared" si="36"/>
        <v>-0.69638869999999997</v>
      </c>
      <c r="J1050" s="13">
        <f t="shared" si="37"/>
        <v>252238.41000000003</v>
      </c>
    </row>
    <row r="1051" spans="1:10" x14ac:dyDescent="0.25">
      <c r="A1051" s="10">
        <v>43054.791666666664</v>
      </c>
      <c r="B1051" s="11" t="s">
        <v>8</v>
      </c>
      <c r="C1051" s="11" t="s">
        <v>5</v>
      </c>
      <c r="D1051" s="16" t="str">
        <f>HYPERLINK("https://freddywills.com/pick/6714/maction-wednesday-night-toledo-bowling-green.html", "Toledo -17 2.2% play ")</f>
        <v xml:space="preserve">Toledo -17 2.2% play </v>
      </c>
      <c r="E1051" s="11">
        <v>2.2000000000000002</v>
      </c>
      <c r="F1051" s="11">
        <v>-1.1000000000000001</v>
      </c>
      <c r="G1051" s="11" t="s">
        <v>4</v>
      </c>
      <c r="H1051" s="13">
        <v>2000</v>
      </c>
      <c r="I1051" s="14">
        <f t="shared" si="36"/>
        <v>-0.67138869999999995</v>
      </c>
      <c r="J1051" s="13">
        <f t="shared" si="37"/>
        <v>254738.41000000003</v>
      </c>
    </row>
    <row r="1052" spans="1:10" x14ac:dyDescent="0.25">
      <c r="A1052" s="10">
        <v>43051.684027777781</v>
      </c>
      <c r="B1052" s="11" t="s">
        <v>2</v>
      </c>
      <c r="C1052" s="11" t="s">
        <v>18</v>
      </c>
      <c r="D1052" s="16" t="str">
        <f>HYPERLINK("https://freddywills.com/pick/6713/cowboys-vs-falcons-rematch-2-bankroll-play.html", "Cowboys +160 2% play ")</f>
        <v xml:space="preserve">Cowboys +160 2% play </v>
      </c>
      <c r="E1052" s="11">
        <v>2</v>
      </c>
      <c r="F1052" s="11">
        <v>1.6</v>
      </c>
      <c r="G1052" s="11" t="s">
        <v>6</v>
      </c>
      <c r="H1052" s="13">
        <v>-2000</v>
      </c>
      <c r="I1052" s="14">
        <f t="shared" si="36"/>
        <v>-0.69138869999999997</v>
      </c>
      <c r="J1052" s="13">
        <f t="shared" si="37"/>
        <v>252738.41000000003</v>
      </c>
    </row>
    <row r="1053" spans="1:10" x14ac:dyDescent="0.25">
      <c r="A1053" s="10">
        <v>43051.541666666664</v>
      </c>
      <c r="B1053" s="11" t="s">
        <v>2</v>
      </c>
      <c r="C1053" s="11" t="s">
        <v>18</v>
      </c>
      <c r="D1053" s="16" t="str">
        <f>HYPERLINK("https://freddywills.com/pick/6711/nfl-pod-guaranteed-or-back-bills-vs-saints.html", "BILLS +130 5.5% NFL POD")</f>
        <v>BILLS +130 5.5% NFL POD</v>
      </c>
      <c r="E1053" s="11">
        <v>5.5</v>
      </c>
      <c r="F1053" s="11">
        <v>1.3</v>
      </c>
      <c r="G1053" s="11" t="s">
        <v>6</v>
      </c>
      <c r="H1053" s="13">
        <v>-5500</v>
      </c>
      <c r="I1053" s="14">
        <f t="shared" si="36"/>
        <v>-0.67138869999999995</v>
      </c>
      <c r="J1053" s="13">
        <f t="shared" si="37"/>
        <v>254738.41000000003</v>
      </c>
    </row>
    <row r="1054" spans="1:10" x14ac:dyDescent="0.25">
      <c r="A1054" s="10">
        <v>43051.541666666664</v>
      </c>
      <c r="B1054" s="11" t="s">
        <v>2</v>
      </c>
      <c r="C1054" s="11" t="s">
        <v>5</v>
      </c>
      <c r="D1054" s="16" t="str">
        <f>HYPERLINK("https://freddywills.com/pick/6712/3-nfl-bankroll-play-guaranteed-or-back.html", "BROWNS +10.5 3.3% PLAY ")</f>
        <v xml:space="preserve">BROWNS +10.5 3.3% PLAY </v>
      </c>
      <c r="E1054" s="11">
        <v>3.3</v>
      </c>
      <c r="F1054" s="11">
        <v>-1.1000000000000001</v>
      </c>
      <c r="G1054" s="11" t="s">
        <v>6</v>
      </c>
      <c r="H1054" s="13">
        <v>-3300</v>
      </c>
      <c r="I1054" s="14">
        <f t="shared" si="36"/>
        <v>-0.6163886999999999</v>
      </c>
      <c r="J1054" s="13">
        <f t="shared" si="37"/>
        <v>260238.41000000003</v>
      </c>
    </row>
    <row r="1055" spans="1:10" x14ac:dyDescent="0.25">
      <c r="A1055" s="10">
        <v>43050.9375</v>
      </c>
      <c r="B1055" s="11" t="s">
        <v>8</v>
      </c>
      <c r="C1055" s="11" t="s">
        <v>5</v>
      </c>
      <c r="D1055" s="16" t="str">
        <f>HYPERLINK("https://freddywills.com/pick/6705/wyoming-vs-air-force-2-2-play-guaranteed-or-back-late-night-fix.html", "Air Force -3 2.2% Play ")</f>
        <v xml:space="preserve">Air Force -3 2.2% Play </v>
      </c>
      <c r="E1055" s="11">
        <v>2.2000000000000002</v>
      </c>
      <c r="F1055" s="11">
        <v>-1.1000000000000001</v>
      </c>
      <c r="G1055" s="11" t="s">
        <v>6</v>
      </c>
      <c r="H1055" s="13">
        <v>-2200</v>
      </c>
      <c r="I1055" s="14">
        <f t="shared" si="36"/>
        <v>-0.58338869999999987</v>
      </c>
      <c r="J1055" s="13">
        <f t="shared" si="37"/>
        <v>263538.41000000003</v>
      </c>
    </row>
    <row r="1056" spans="1:10" x14ac:dyDescent="0.25">
      <c r="A1056" s="10">
        <v>43050.833333333336</v>
      </c>
      <c r="B1056" s="11" t="s">
        <v>8</v>
      </c>
      <c r="C1056" s="11" t="s">
        <v>5</v>
      </c>
      <c r="D1056" s="16" t="str">
        <f>HYPERLINK("https://freddywills.com/pick/6701/notre-dame-vs-miami-premium-pick-prediction-guaranteed-249-191-l440-ncaaf-3-plays.html", "Notre Dame -3 3.3% Play")</f>
        <v>Notre Dame -3 3.3% Play</v>
      </c>
      <c r="E1056" s="11">
        <v>3.3</v>
      </c>
      <c r="F1056" s="11">
        <v>-1.1000000000000001</v>
      </c>
      <c r="G1056" s="11" t="s">
        <v>6</v>
      </c>
      <c r="H1056" s="13">
        <v>-3300</v>
      </c>
      <c r="I1056" s="14">
        <f t="shared" si="36"/>
        <v>-0.56138869999999985</v>
      </c>
      <c r="J1056" s="13">
        <f t="shared" si="37"/>
        <v>265738.41000000003</v>
      </c>
    </row>
    <row r="1057" spans="1:10" x14ac:dyDescent="0.25">
      <c r="A1057" s="10">
        <v>43050.833333333336</v>
      </c>
      <c r="B1057" s="11" t="s">
        <v>8</v>
      </c>
      <c r="C1057" s="11" t="s">
        <v>5</v>
      </c>
      <c r="D1057" s="16" t="str">
        <f>HYPERLINK("https://freddywills.com/pick/6702/oklahoma-vs-tcu-4-4-play-guaranteed-or-back.html", "Oklahoma -6.5 4.4% Play")</f>
        <v>Oklahoma -6.5 4.4% Play</v>
      </c>
      <c r="E1057" s="11">
        <v>4.4000000000000004</v>
      </c>
      <c r="F1057" s="11">
        <v>-1.1000000000000001</v>
      </c>
      <c r="G1057" s="11" t="s">
        <v>4</v>
      </c>
      <c r="H1057" s="13">
        <v>4000</v>
      </c>
      <c r="I1057" s="14">
        <f t="shared" si="36"/>
        <v>-0.52838869999999982</v>
      </c>
      <c r="J1057" s="13">
        <f t="shared" si="37"/>
        <v>269038.41000000003</v>
      </c>
    </row>
    <row r="1058" spans="1:10" x14ac:dyDescent="0.25">
      <c r="A1058" s="10">
        <v>43050.8125</v>
      </c>
      <c r="B1058" s="11" t="s">
        <v>8</v>
      </c>
      <c r="C1058" s="11" t="s">
        <v>5</v>
      </c>
      <c r="D1058" s="16" t="str">
        <f>HYPERLINK("https://freddywills.com/pick/6710/sec-late-game-tennessee-vs-missouri-2-2-play.html", "Tennessee +12 2.2% Play ")</f>
        <v xml:space="preserve">Tennessee +12 2.2% Play </v>
      </c>
      <c r="E1058" s="11">
        <v>2.2000000000000002</v>
      </c>
      <c r="F1058" s="11">
        <v>-1.1000000000000001</v>
      </c>
      <c r="G1058" s="11" t="s">
        <v>6</v>
      </c>
      <c r="H1058" s="13">
        <v>-2200</v>
      </c>
      <c r="I1058" s="14">
        <f t="shared" si="36"/>
        <v>-0.56838869999999986</v>
      </c>
      <c r="J1058" s="13">
        <f t="shared" si="37"/>
        <v>265038.41000000003</v>
      </c>
    </row>
    <row r="1059" spans="1:10" x14ac:dyDescent="0.25">
      <c r="A1059" s="10">
        <v>43050.791666666664</v>
      </c>
      <c r="B1059" s="11" t="s">
        <v>8</v>
      </c>
      <c r="C1059" s="11" t="s">
        <v>18</v>
      </c>
      <c r="D1059" s="16" t="str">
        <f>HYPERLINK("https://freddywills.com/pick/6707/big-dog-of-the-week-saturday-college-football-250-or-more.html", "Old Dominion +295 2% Play")</f>
        <v>Old Dominion +295 2% Play</v>
      </c>
      <c r="E1059" s="11">
        <v>2</v>
      </c>
      <c r="F1059" s="11">
        <v>2.95</v>
      </c>
      <c r="G1059" s="11" t="s">
        <v>4</v>
      </c>
      <c r="H1059" s="13">
        <v>5900</v>
      </c>
      <c r="I1059" s="14">
        <f t="shared" si="36"/>
        <v>-0.54638869999999984</v>
      </c>
      <c r="J1059" s="13">
        <f t="shared" si="37"/>
        <v>267238.41000000003</v>
      </c>
    </row>
    <row r="1060" spans="1:10" x14ac:dyDescent="0.25">
      <c r="A1060" s="10">
        <v>43050.729166666664</v>
      </c>
      <c r="B1060" s="11" t="s">
        <v>8</v>
      </c>
      <c r="C1060" s="11" t="s">
        <v>5</v>
      </c>
      <c r="D1060" s="16" t="str">
        <f>HYPERLINK("https://freddywills.com/pick/6706/r-a-r-e-max-ncaaf-pod-71-49-ats-l120-max-rated-ncaaf-pod-s.html", "Utah +1.5 5.5% POD")</f>
        <v>Utah +1.5 5.5% POD</v>
      </c>
      <c r="E1060" s="11">
        <v>5.5</v>
      </c>
      <c r="F1060" s="11">
        <v>-1.1000000000000001</v>
      </c>
      <c r="G1060" s="11" t="s">
        <v>6</v>
      </c>
      <c r="H1060" s="13">
        <v>-5500</v>
      </c>
      <c r="I1060" s="14">
        <f t="shared" si="36"/>
        <v>-0.60538869999999989</v>
      </c>
      <c r="J1060" s="13">
        <f t="shared" si="37"/>
        <v>261338.41000000003</v>
      </c>
    </row>
    <row r="1061" spans="1:10" x14ac:dyDescent="0.25">
      <c r="A1061" s="10">
        <v>43050.645833333336</v>
      </c>
      <c r="B1061" s="11" t="s">
        <v>8</v>
      </c>
      <c r="C1061" s="11" t="s">
        <v>5</v>
      </c>
      <c r="D1061" s="16" t="str">
        <f>HYPERLINK("https://freddywills.com/pick/6703/26-15-ats-last-41-1-bankroll-plays-free-play-smu-vs-navy.html", "Navy -4.5 1.1% Free Play ")</f>
        <v xml:space="preserve">Navy -4.5 1.1% Free Play </v>
      </c>
      <c r="E1061" s="11">
        <v>1.1000000000000001</v>
      </c>
      <c r="F1061" s="11">
        <v>-1.1000000000000001</v>
      </c>
      <c r="G1061" s="11" t="s">
        <v>6</v>
      </c>
      <c r="H1061" s="13">
        <v>-1100</v>
      </c>
      <c r="I1061" s="14">
        <f t="shared" si="36"/>
        <v>-0.55038869999999984</v>
      </c>
      <c r="J1061" s="13">
        <f t="shared" si="37"/>
        <v>266838.41000000003</v>
      </c>
    </row>
    <row r="1062" spans="1:10" x14ac:dyDescent="0.25">
      <c r="A1062" s="10">
        <v>43050.645833333336</v>
      </c>
      <c r="B1062" s="11" t="s">
        <v>8</v>
      </c>
      <c r="C1062" s="11" t="s">
        <v>5</v>
      </c>
      <c r="D1062" s="16" t="str">
        <f>HYPERLINK("https://freddywills.com/pick/6704/michigan-maryland-2-2-premium-play-guaranteed-or-back.html", "Michigan -16.5 2.2% play ")</f>
        <v xml:space="preserve">Michigan -16.5 2.2% play </v>
      </c>
      <c r="E1062" s="11">
        <v>2.2000000000000002</v>
      </c>
      <c r="F1062" s="11">
        <v>-1.1000000000000001</v>
      </c>
      <c r="G1062" s="11" t="s">
        <v>4</v>
      </c>
      <c r="H1062" s="13">
        <v>2000</v>
      </c>
      <c r="I1062" s="14">
        <f t="shared" si="36"/>
        <v>-0.53938869999999983</v>
      </c>
      <c r="J1062" s="13">
        <f t="shared" si="37"/>
        <v>267938.41000000003</v>
      </c>
    </row>
    <row r="1063" spans="1:10" x14ac:dyDescent="0.25">
      <c r="A1063" s="10">
        <v>43050.645833333336</v>
      </c>
      <c r="B1063" s="11" t="s">
        <v>8</v>
      </c>
      <c r="C1063" s="11" t="s">
        <v>18</v>
      </c>
      <c r="D1063" s="16" t="str">
        <f>HYPERLINK("https://freddywills.com/pick/6708/auburn-vs-georgia-3-play-249-191-ats-l440-3-ncaaf-plays.html", "Auburn +120 3% Play ")</f>
        <v xml:space="preserve">Auburn +120 3% Play </v>
      </c>
      <c r="E1063" s="11">
        <v>3</v>
      </c>
      <c r="F1063" s="11">
        <v>1.2</v>
      </c>
      <c r="G1063" s="11" t="s">
        <v>4</v>
      </c>
      <c r="H1063" s="13">
        <v>3600</v>
      </c>
      <c r="I1063" s="14">
        <f t="shared" si="36"/>
        <v>-0.55938869999999985</v>
      </c>
      <c r="J1063" s="13">
        <f t="shared" si="37"/>
        <v>265938.41000000003</v>
      </c>
    </row>
    <row r="1064" spans="1:10" x14ac:dyDescent="0.25">
      <c r="A1064" s="10">
        <v>43050.5</v>
      </c>
      <c r="B1064" s="11" t="s">
        <v>8</v>
      </c>
      <c r="C1064" s="11" t="s">
        <v>5</v>
      </c>
      <c r="D1064" s="16" t="str">
        <f>HYPERLINK("https://freddywills.com/pick/6699/duke-vs-army-3-3-play-guaranteed-or-back.html", "Duke -2.5 3.3% play ")</f>
        <v xml:space="preserve">Duke -2.5 3.3% play </v>
      </c>
      <c r="E1064" s="11">
        <v>3.3</v>
      </c>
      <c r="F1064" s="11">
        <v>-1.1000000000000001</v>
      </c>
      <c r="G1064" s="11" t="s">
        <v>6</v>
      </c>
      <c r="H1064" s="13">
        <v>-3300</v>
      </c>
      <c r="I1064" s="14">
        <f t="shared" si="36"/>
        <v>-0.59538869999999988</v>
      </c>
      <c r="J1064" s="13">
        <f t="shared" si="37"/>
        <v>262338.41000000003</v>
      </c>
    </row>
    <row r="1065" spans="1:10" x14ac:dyDescent="0.25">
      <c r="A1065" s="10">
        <v>43049.61041666667</v>
      </c>
      <c r="B1065" s="11" t="s">
        <v>8</v>
      </c>
      <c r="C1065" s="11" t="s">
        <v>7</v>
      </c>
      <c r="D1065" s="16" t="str">
        <f>HYPERLINK("https://freddywills.com/pick/6709/friday-night-lights-total-play-washington-vs-stanford.html", "Washington/Stanford Under 48.5 1.1% Play")</f>
        <v>Washington/Stanford Under 48.5 1.1% Play</v>
      </c>
      <c r="E1065" s="11">
        <v>1.1000000000000001</v>
      </c>
      <c r="F1065" s="11">
        <v>-1.1000000000000001</v>
      </c>
      <c r="G1065" s="11" t="s">
        <v>6</v>
      </c>
      <c r="H1065" s="13">
        <v>-1100</v>
      </c>
      <c r="I1065" s="14">
        <f t="shared" si="36"/>
        <v>-0.56238869999999985</v>
      </c>
      <c r="J1065" s="13">
        <f t="shared" si="37"/>
        <v>265638.41000000003</v>
      </c>
    </row>
    <row r="1066" spans="1:10" x14ac:dyDescent="0.25">
      <c r="A1066" s="10">
        <v>43048.8125</v>
      </c>
      <c r="B1066" s="11" t="s">
        <v>8</v>
      </c>
      <c r="C1066" s="11" t="s">
        <v>5</v>
      </c>
      <c r="D1066" s="16" t="str">
        <f>HYPERLINK("https://freddywills.com/pick/6700/225-920-career-college-football-from-november-2-2-play-thursday-night.html", "Appalachian State -17.5 2.2% play ")</f>
        <v xml:space="preserve">Appalachian State -17.5 2.2% play </v>
      </c>
      <c r="E1066" s="11">
        <v>2.2000000000000002</v>
      </c>
      <c r="F1066" s="11">
        <v>-1.1000000000000001</v>
      </c>
      <c r="G1066" s="11" t="s">
        <v>4</v>
      </c>
      <c r="H1066" s="13">
        <v>2000</v>
      </c>
      <c r="I1066" s="14">
        <f t="shared" si="36"/>
        <v>-0.55138869999999984</v>
      </c>
      <c r="J1066" s="13">
        <f t="shared" si="37"/>
        <v>266738.41000000003</v>
      </c>
    </row>
    <row r="1067" spans="1:10" x14ac:dyDescent="0.25">
      <c r="A1067" s="10">
        <v>43047.833333333336</v>
      </c>
      <c r="B1067" s="11" t="s">
        <v>8</v>
      </c>
      <c r="C1067" s="11" t="s">
        <v>7</v>
      </c>
      <c r="D1067" s="16" t="str">
        <f>HYPERLINK("https://freddywills.com/pick/6698/maction-eastern-michigan-vs-central-michigan-total-play.html", "Eastern Michigan / Cent Michigan Under 50.5 2.2% play ")</f>
        <v xml:space="preserve">Eastern Michigan / Cent Michigan Under 50.5 2.2% play </v>
      </c>
      <c r="E1067" s="11">
        <v>2.2000000000000002</v>
      </c>
      <c r="F1067" s="11">
        <v>-1.1000000000000001</v>
      </c>
      <c r="G1067" s="11" t="s">
        <v>6</v>
      </c>
      <c r="H1067" s="13">
        <v>-2200</v>
      </c>
      <c r="I1067" s="14">
        <f t="shared" si="36"/>
        <v>-0.57138869999999986</v>
      </c>
      <c r="J1067" s="13">
        <f t="shared" si="37"/>
        <v>264738.41000000003</v>
      </c>
    </row>
    <row r="1068" spans="1:10" x14ac:dyDescent="0.25">
      <c r="A1068" s="10">
        <v>43045.864583333336</v>
      </c>
      <c r="B1068" s="11" t="s">
        <v>2</v>
      </c>
      <c r="C1068" s="11" t="s">
        <v>18</v>
      </c>
      <c r="D1068" s="16" t="str">
        <f>HYPERLINK("https://freddywills.com/pick/6697/3-monday-night-football-action-packers-vs-lions.html", "Packers +115 3% play ")</f>
        <v xml:space="preserve">Packers +115 3% play </v>
      </c>
      <c r="E1068" s="11">
        <v>3</v>
      </c>
      <c r="F1068" s="11">
        <v>1.1499999999999999</v>
      </c>
      <c r="G1068" s="11" t="s">
        <v>6</v>
      </c>
      <c r="H1068" s="13">
        <v>-3000</v>
      </c>
      <c r="I1068" s="14">
        <f t="shared" si="36"/>
        <v>-0.54938869999999984</v>
      </c>
      <c r="J1068" s="13">
        <f t="shared" si="37"/>
        <v>266938.41000000003</v>
      </c>
    </row>
    <row r="1069" spans="1:10" x14ac:dyDescent="0.25">
      <c r="A1069" s="10">
        <v>43044.684027777781</v>
      </c>
      <c r="B1069" s="11" t="s">
        <v>2</v>
      </c>
      <c r="C1069" s="11" t="s">
        <v>5</v>
      </c>
      <c r="D1069" s="16" t="str">
        <f>HYPERLINK("https://freddywills.com/pick/6696/nfl-teaser-of-the-week-guaranteed-or-back-4pm-games.html", "49ERS +8.5 / CHIEFS +8.5 3.3% PLAY ")</f>
        <v xml:space="preserve">49ERS +8.5 / CHIEFS +8.5 3.3% PLAY </v>
      </c>
      <c r="E1069" s="11">
        <v>3.3</v>
      </c>
      <c r="F1069" s="11">
        <v>-1.1000000000000001</v>
      </c>
      <c r="G1069" s="11" t="s">
        <v>6</v>
      </c>
      <c r="H1069" s="13">
        <v>-3300</v>
      </c>
      <c r="I1069" s="14">
        <f t="shared" si="36"/>
        <v>-0.51938869999999981</v>
      </c>
      <c r="J1069" s="13">
        <f t="shared" si="37"/>
        <v>269938.41000000003</v>
      </c>
    </row>
    <row r="1070" spans="1:10" x14ac:dyDescent="0.25">
      <c r="A1070" s="10">
        <v>43044.541666666664</v>
      </c>
      <c r="B1070" s="11" t="s">
        <v>2</v>
      </c>
      <c r="C1070" s="11" t="s">
        <v>5</v>
      </c>
      <c r="D1070" s="16" t="str">
        <f>HYPERLINK("https://freddywills.com/pick/6693/rare-max-nfl-pod-28-13-ats-last-41-max-rated-nfl-pod-s.html", "Titans -3.5 5.5% NFL POD")</f>
        <v>Titans -3.5 5.5% NFL POD</v>
      </c>
      <c r="E1070" s="11">
        <v>5.5</v>
      </c>
      <c r="F1070" s="11">
        <v>-1.1000000000000001</v>
      </c>
      <c r="G1070" s="11" t="s">
        <v>6</v>
      </c>
      <c r="H1070" s="13">
        <v>-5500</v>
      </c>
      <c r="I1070" s="14">
        <f t="shared" si="36"/>
        <v>-0.48638869999999984</v>
      </c>
      <c r="J1070" s="13">
        <f t="shared" si="37"/>
        <v>273238.41000000003</v>
      </c>
    </row>
    <row r="1071" spans="1:10" x14ac:dyDescent="0.25">
      <c r="A1071" s="10">
        <v>43044.541666666664</v>
      </c>
      <c r="B1071" s="11" t="s">
        <v>2</v>
      </c>
      <c r="C1071" s="11" t="s">
        <v>5</v>
      </c>
      <c r="D1071" s="16" t="str">
        <f>HYPERLINK("https://freddywills.com/pick/6694/colts-vs-houston-texans-3-3-bankroll-play-guaranteed-or-back.html", "Colts +7 -1.15 3.3% ")</f>
        <v xml:space="preserve">Colts +7 -1.15 3.3% </v>
      </c>
      <c r="E1071" s="11">
        <v>3.3</v>
      </c>
      <c r="F1071" s="11">
        <v>-1.1499999999999999</v>
      </c>
      <c r="G1071" s="11" t="s">
        <v>4</v>
      </c>
      <c r="H1071" s="13">
        <v>2869</v>
      </c>
      <c r="I1071" s="14">
        <f t="shared" si="36"/>
        <v>-0.43138869999999985</v>
      </c>
      <c r="J1071" s="13">
        <f t="shared" si="37"/>
        <v>278738.41000000003</v>
      </c>
    </row>
    <row r="1072" spans="1:10" x14ac:dyDescent="0.25">
      <c r="A1072" s="10">
        <v>43044.5</v>
      </c>
      <c r="B1072" s="11" t="s">
        <v>2</v>
      </c>
      <c r="C1072" s="11" t="s">
        <v>5</v>
      </c>
      <c r="D1072" s="16" t="str">
        <f>HYPERLINK("https://freddywills.com/pick/6695/broncos-eagles-guaranteed-nfl-play.html", "Broncos +7 3.3% play ")</f>
        <v xml:space="preserve">Broncos +7 3.3% play </v>
      </c>
      <c r="E1072" s="11">
        <v>3.3</v>
      </c>
      <c r="F1072" s="11">
        <v>-1.1000000000000001</v>
      </c>
      <c r="G1072" s="11" t="s">
        <v>6</v>
      </c>
      <c r="H1072" s="13">
        <v>-3300</v>
      </c>
      <c r="I1072" s="14">
        <f t="shared" si="36"/>
        <v>-0.46007869999999984</v>
      </c>
      <c r="J1072" s="13">
        <f t="shared" si="37"/>
        <v>275869.41000000003</v>
      </c>
    </row>
    <row r="1073" spans="1:10" x14ac:dyDescent="0.25">
      <c r="A1073" s="10">
        <v>43043.802083333336</v>
      </c>
      <c r="B1073" s="11" t="s">
        <v>8</v>
      </c>
      <c r="C1073" s="11" t="s">
        <v>18</v>
      </c>
      <c r="D1073" s="16" t="str">
        <f>HYPERLINK("https://freddywills.com/pick/6684/friday-commute-podcast-play-dog-of-the-week-guaranteed-or-back.html", "Texas +235 3% play ")</f>
        <v xml:space="preserve">Texas +235 3% play </v>
      </c>
      <c r="E1073" s="11">
        <v>3</v>
      </c>
      <c r="F1073" s="11">
        <v>2.35</v>
      </c>
      <c r="G1073" s="11" t="s">
        <v>6</v>
      </c>
      <c r="H1073" s="13">
        <v>-3000</v>
      </c>
      <c r="I1073" s="14">
        <f t="shared" si="36"/>
        <v>-0.42707869999999981</v>
      </c>
      <c r="J1073" s="13">
        <f t="shared" si="37"/>
        <v>279169.41000000003</v>
      </c>
    </row>
    <row r="1074" spans="1:10" x14ac:dyDescent="0.25">
      <c r="A1074" s="10">
        <v>43043.708333333336</v>
      </c>
      <c r="B1074" s="11" t="s">
        <v>8</v>
      </c>
      <c r="C1074" s="11" t="s">
        <v>10</v>
      </c>
      <c r="D1074" s="16" t="str">
        <f>HYPERLINK("https://freddywills.com/pick/6692/4-4-teaser-of-the-week-pac12-csa-combo-guaranteed-or-back.html", "California -1 / UTSA -1 4.4% Teaser")</f>
        <v>California -1 / UTSA -1 4.4% Teaser</v>
      </c>
      <c r="E1074" s="11">
        <v>4.4000000000000004</v>
      </c>
      <c r="F1074" s="11">
        <v>-1.1000000000000001</v>
      </c>
      <c r="G1074" s="11" t="s">
        <v>6</v>
      </c>
      <c r="H1074" s="13">
        <v>-4400</v>
      </c>
      <c r="I1074" s="14">
        <f t="shared" si="36"/>
        <v>-0.39707869999999978</v>
      </c>
      <c r="J1074" s="13">
        <f t="shared" si="37"/>
        <v>282169.41000000003</v>
      </c>
    </row>
    <row r="1075" spans="1:10" x14ac:dyDescent="0.25">
      <c r="A1075" s="10">
        <v>43043.666666666664</v>
      </c>
      <c r="B1075" s="11" t="s">
        <v>8</v>
      </c>
      <c r="C1075" s="11" t="s">
        <v>18</v>
      </c>
      <c r="D1075" s="16" t="str">
        <f>HYPERLINK("https://freddywills.com/pick/6685/rare-max-ncaaf-pod-guaranteed-or-back-oklahoma-vs-oklahoma-state.html", "Oklahoma +105 5.5% POD")</f>
        <v>Oklahoma +105 5.5% POD</v>
      </c>
      <c r="E1075" s="11">
        <v>5.5</v>
      </c>
      <c r="F1075" s="11">
        <v>1.05</v>
      </c>
      <c r="G1075" s="11" t="s">
        <v>4</v>
      </c>
      <c r="H1075" s="13">
        <v>5775</v>
      </c>
      <c r="I1075" s="14">
        <f t="shared" si="36"/>
        <v>-0.3530786999999998</v>
      </c>
      <c r="J1075" s="13">
        <f t="shared" si="37"/>
        <v>286569.41000000003</v>
      </c>
    </row>
    <row r="1076" spans="1:10" x14ac:dyDescent="0.25">
      <c r="A1076" s="10">
        <v>43043.645833333336</v>
      </c>
      <c r="B1076" s="11" t="s">
        <v>8</v>
      </c>
      <c r="C1076" s="11" t="s">
        <v>5</v>
      </c>
      <c r="D1076" s="16" t="str">
        <f>HYPERLINK("https://freddywills.com/pick/6686/west-virginia-vs-iowa-state-guaranteed-or-back-4-bankroll-play.html", "West Virginia -3 -105 4.5% play ")</f>
        <v xml:space="preserve">West Virginia -3 -105 4.5% play </v>
      </c>
      <c r="E1076" s="11">
        <v>4.4000000000000004</v>
      </c>
      <c r="F1076" s="11">
        <v>-1.05</v>
      </c>
      <c r="G1076" s="11" t="s">
        <v>4</v>
      </c>
      <c r="H1076" s="13">
        <v>4190.4799999999996</v>
      </c>
      <c r="I1076" s="14">
        <f t="shared" ref="I1076:I1139" si="38">(H1076/100000)+I1077</f>
        <v>-0.41082869999999982</v>
      </c>
      <c r="J1076" s="13">
        <f t="shared" ref="J1076:J1139" si="39">H1076+J1077</f>
        <v>280794.41000000003</v>
      </c>
    </row>
    <row r="1077" spans="1:10" x14ac:dyDescent="0.25">
      <c r="A1077" s="10">
        <v>43043.645833333336</v>
      </c>
      <c r="B1077" s="11" t="s">
        <v>8</v>
      </c>
      <c r="C1077" s="11" t="s">
        <v>5</v>
      </c>
      <c r="D1077" s="16" t="str">
        <f>HYPERLINK("https://freddywills.com/pick/6687/aac-big-dog-play-guaranteed-or-back.html", "Uconn +24 2.2% Play / Uconn +1420 0.25% play ")</f>
        <v xml:space="preserve">Uconn +24 2.2% Play / Uconn +1420 0.25% play </v>
      </c>
      <c r="E1077" s="11">
        <v>2.2000000000000002</v>
      </c>
      <c r="F1077" s="11">
        <v>-1.1000000000000001</v>
      </c>
      <c r="G1077" s="11" t="s">
        <v>4</v>
      </c>
      <c r="H1077" s="13">
        <v>1750</v>
      </c>
      <c r="I1077" s="14">
        <f t="shared" si="38"/>
        <v>-0.45273349999999984</v>
      </c>
      <c r="J1077" s="13">
        <f t="shared" si="39"/>
        <v>276603.93000000005</v>
      </c>
    </row>
    <row r="1078" spans="1:10" x14ac:dyDescent="0.25">
      <c r="A1078" s="10">
        <v>43043.5</v>
      </c>
      <c r="B1078" s="11" t="s">
        <v>8</v>
      </c>
      <c r="C1078" s="11" t="s">
        <v>5</v>
      </c>
      <c r="D1078" s="16" t="str">
        <f>HYPERLINK("https://freddywills.com/pick/6688/saturday-s-free-pick-goes-early-vanderbilt-vs-western-kentucky.html", "Vanderbilt -10.5 1.1% Free Play ")</f>
        <v xml:space="preserve">Vanderbilt -10.5 1.1% Free Play </v>
      </c>
      <c r="E1078" s="11">
        <v>1.1000000000000001</v>
      </c>
      <c r="F1078" s="11">
        <v>-1.1000000000000001</v>
      </c>
      <c r="G1078" s="11" t="s">
        <v>4</v>
      </c>
      <c r="H1078" s="13">
        <v>1000</v>
      </c>
      <c r="I1078" s="14">
        <f t="shared" si="38"/>
        <v>-0.47023349999999986</v>
      </c>
      <c r="J1078" s="13">
        <f t="shared" si="39"/>
        <v>274853.93000000005</v>
      </c>
    </row>
    <row r="1079" spans="1:10" x14ac:dyDescent="0.25">
      <c r="A1079" s="10">
        <v>43043.5</v>
      </c>
      <c r="B1079" s="11" t="s">
        <v>8</v>
      </c>
      <c r="C1079" s="11" t="s">
        <v>18</v>
      </c>
      <c r="D1079" s="16" t="str">
        <f>HYPERLINK("https://freddywills.com/pick/6689/sec-dog-of-the-week-guaranteed-or-back.html", "Florida +140 3% play ")</f>
        <v xml:space="preserve">Florida +140 3% play </v>
      </c>
      <c r="E1079" s="11">
        <v>3</v>
      </c>
      <c r="F1079" s="11">
        <v>1.4</v>
      </c>
      <c r="G1079" s="11" t="s">
        <v>6</v>
      </c>
      <c r="H1079" s="13">
        <v>-3000</v>
      </c>
      <c r="I1079" s="14">
        <f t="shared" si="38"/>
        <v>-0.48023349999999987</v>
      </c>
      <c r="J1079" s="13">
        <f t="shared" si="39"/>
        <v>273853.93000000005</v>
      </c>
    </row>
    <row r="1080" spans="1:10" x14ac:dyDescent="0.25">
      <c r="A1080" s="10">
        <v>43043.5</v>
      </c>
      <c r="B1080" s="11" t="s">
        <v>8</v>
      </c>
      <c r="C1080" s="11" t="s">
        <v>5</v>
      </c>
      <c r="D1080" s="16" t="str">
        <f>HYPERLINK("https://freddywills.com/pick/6690/big-ten-upset-alert-big-dog-play-guaranteed-or-back.html", "Indiana +14 3.3% play / Indiana +420 1% play ")</f>
        <v xml:space="preserve">Indiana +14 3.3% play / Indiana +420 1% play </v>
      </c>
      <c r="E1080" s="11">
        <v>4.3</v>
      </c>
      <c r="F1080" s="11">
        <v>-1.1000000000000001</v>
      </c>
      <c r="G1080" s="11" t="s">
        <v>6</v>
      </c>
      <c r="H1080" s="13">
        <v>-4300</v>
      </c>
      <c r="I1080" s="14">
        <f t="shared" si="38"/>
        <v>-0.4502334999999999</v>
      </c>
      <c r="J1080" s="13">
        <f t="shared" si="39"/>
        <v>276853.93000000005</v>
      </c>
    </row>
    <row r="1081" spans="1:10" x14ac:dyDescent="0.25">
      <c r="A1081" s="10">
        <v>43042.895833333336</v>
      </c>
      <c r="B1081" s="11" t="s">
        <v>8</v>
      </c>
      <c r="C1081" s="11" t="s">
        <v>5</v>
      </c>
      <c r="D1081" s="16" t="str">
        <f>HYPERLINK("https://freddywills.com/pick/6683/3-3-play-friday-night-lights-86-71-ats-l157-november-ncaaf-picks-guaranteed-or-back.html", "UTAH -6.5 3.3% PLAY ")</f>
        <v xml:space="preserve">UTAH -6.5 3.3% PLAY </v>
      </c>
      <c r="E1081" s="11">
        <v>3.3</v>
      </c>
      <c r="F1081" s="11">
        <v>-1.1000000000000001</v>
      </c>
      <c r="G1081" s="11" t="s">
        <v>4</v>
      </c>
      <c r="H1081" s="13">
        <v>3000</v>
      </c>
      <c r="I1081" s="14">
        <f t="shared" si="38"/>
        <v>-0.40723349999999991</v>
      </c>
      <c r="J1081" s="13">
        <f t="shared" si="39"/>
        <v>281153.93000000005</v>
      </c>
    </row>
    <row r="1082" spans="1:10" x14ac:dyDescent="0.25">
      <c r="A1082" s="10">
        <v>43041.75</v>
      </c>
      <c r="B1082" s="11" t="s">
        <v>8</v>
      </c>
      <c r="C1082" s="11" t="s">
        <v>5</v>
      </c>
      <c r="D1082" s="16" t="str">
        <f>HYPERLINK("https://freddywills.com/pick/6680/5-5-ncaaf-pod-53-29-l82-max-rated-plays-thursday-night.html", "Northern Illinois +8.5 5.5% POD")</f>
        <v>Northern Illinois +8.5 5.5% POD</v>
      </c>
      <c r="E1082" s="11">
        <v>5.5</v>
      </c>
      <c r="F1082" s="11">
        <v>-1.1000000000000001</v>
      </c>
      <c r="G1082" s="11" t="s">
        <v>6</v>
      </c>
      <c r="H1082" s="13">
        <v>-5500</v>
      </c>
      <c r="I1082" s="14">
        <f t="shared" si="38"/>
        <v>-0.43723349999999994</v>
      </c>
      <c r="J1082" s="13">
        <f t="shared" si="39"/>
        <v>278153.93000000005</v>
      </c>
    </row>
    <row r="1083" spans="1:10" x14ac:dyDescent="0.25">
      <c r="A1083" s="10">
        <v>43037.864583333336</v>
      </c>
      <c r="B1083" s="11" t="s">
        <v>2</v>
      </c>
      <c r="C1083" s="11" t="s">
        <v>5</v>
      </c>
      <c r="D1083" s="16" t="str">
        <f>HYPERLINK("https://freddywills.com/pick/6678/5-5-nfl-pod-28-12-ats-last-40-steelers-vs-lions-sunday-night.html", "Lions +3 5.5% NFL POD AT +100")</f>
        <v>Lions +3 5.5% NFL POD AT +100</v>
      </c>
      <c r="E1083" s="11">
        <v>5.5</v>
      </c>
      <c r="F1083" s="11">
        <v>1</v>
      </c>
      <c r="G1083" s="11" t="s">
        <v>6</v>
      </c>
      <c r="H1083" s="13">
        <v>-5500</v>
      </c>
      <c r="I1083" s="14">
        <f t="shared" si="38"/>
        <v>-0.38223349999999995</v>
      </c>
      <c r="J1083" s="13">
        <f t="shared" si="39"/>
        <v>283653.93000000005</v>
      </c>
    </row>
    <row r="1084" spans="1:10" x14ac:dyDescent="0.25">
      <c r="A1084" s="10">
        <v>43037.684027777781</v>
      </c>
      <c r="B1084" s="11" t="s">
        <v>2</v>
      </c>
      <c r="C1084" s="11" t="s">
        <v>5</v>
      </c>
      <c r="D1084" s="16" t="str">
        <f>HYPERLINK("https://freddywills.com/pick/6679/houston-texans-seattle-seahawks-guaranteed-or-back.html", "Seahawks -6 2.2% play ")</f>
        <v xml:space="preserve">Seahawks -6 2.2% play </v>
      </c>
      <c r="E1084" s="11">
        <v>2.2000000000000002</v>
      </c>
      <c r="F1084" s="11">
        <v>-1.1000000000000001</v>
      </c>
      <c r="G1084" s="11" t="s">
        <v>6</v>
      </c>
      <c r="H1084" s="13">
        <v>-2200</v>
      </c>
      <c r="I1084" s="14">
        <f t="shared" si="38"/>
        <v>-0.32723349999999995</v>
      </c>
      <c r="J1084" s="13">
        <f t="shared" si="39"/>
        <v>289153.93000000005</v>
      </c>
    </row>
    <row r="1085" spans="1:10" x14ac:dyDescent="0.25">
      <c r="A1085" s="10">
        <v>43037.541666666664</v>
      </c>
      <c r="B1085" s="11" t="s">
        <v>2</v>
      </c>
      <c r="C1085" s="11" t="s">
        <v>5</v>
      </c>
      <c r="D1085" s="16" t="str">
        <f>HYPERLINK("https://freddywills.com/pick/6677/nfl-early-bird-special-eagles-vs-49ers.html", "49ers +13 3.3% Play ")</f>
        <v xml:space="preserve">49ers +13 3.3% Play </v>
      </c>
      <c r="E1085" s="11">
        <v>3.3</v>
      </c>
      <c r="F1085" s="11">
        <v>-1.1000000000000001</v>
      </c>
      <c r="G1085" s="11" t="s">
        <v>6</v>
      </c>
      <c r="H1085" s="13">
        <v>-3300</v>
      </c>
      <c r="I1085" s="14">
        <f t="shared" si="38"/>
        <v>-0.30523349999999994</v>
      </c>
      <c r="J1085" s="13">
        <f t="shared" si="39"/>
        <v>291353.93000000005</v>
      </c>
    </row>
    <row r="1086" spans="1:10" x14ac:dyDescent="0.25">
      <c r="A1086" s="10">
        <v>43036.833333333336</v>
      </c>
      <c r="B1086" s="11" t="s">
        <v>8</v>
      </c>
      <c r="C1086" s="11" t="s">
        <v>5</v>
      </c>
      <c r="D1086" s="16" t="str">
        <f>HYPERLINK("https://freddywills.com/pick/6676/clemson-vs-georgia-tech-2-2-winner-guaranteed-or-back.html", "Clemson -14 2.2% play ")</f>
        <v xml:space="preserve">Clemson -14 2.2% play </v>
      </c>
      <c r="E1086" s="11">
        <v>2.2000000000000002</v>
      </c>
      <c r="F1086" s="11">
        <v>-1.1000000000000001</v>
      </c>
      <c r="G1086" s="11" t="s">
        <v>9</v>
      </c>
      <c r="H1086" s="13">
        <v>0</v>
      </c>
      <c r="I1086" s="14">
        <f t="shared" si="38"/>
        <v>-0.27223349999999991</v>
      </c>
      <c r="J1086" s="13">
        <f t="shared" si="39"/>
        <v>294653.93000000005</v>
      </c>
    </row>
    <row r="1087" spans="1:10" x14ac:dyDescent="0.25">
      <c r="A1087" s="10">
        <v>43036.65625</v>
      </c>
      <c r="B1087" s="11" t="s">
        <v>8</v>
      </c>
      <c r="C1087" s="11" t="s">
        <v>5</v>
      </c>
      <c r="D1087" s="16" t="str">
        <f>HYPERLINK("https://freddywills.com/pick/6670/american-fb-conference-game-of-the-week-3-bankroll-play.html", "Houston +11 3.3% play ")</f>
        <v xml:space="preserve">Houston +11 3.3% play </v>
      </c>
      <c r="E1087" s="11">
        <v>3.3</v>
      </c>
      <c r="F1087" s="11">
        <v>-1.1000000000000001</v>
      </c>
      <c r="G1087" s="11" t="s">
        <v>4</v>
      </c>
      <c r="H1087" s="13">
        <v>3000</v>
      </c>
      <c r="I1087" s="14">
        <f t="shared" si="38"/>
        <v>-0.27223349999999991</v>
      </c>
      <c r="J1087" s="13">
        <f t="shared" si="39"/>
        <v>294653.93000000005</v>
      </c>
    </row>
    <row r="1088" spans="1:10" x14ac:dyDescent="0.25">
      <c r="A1088" s="10">
        <v>43036.645833333336</v>
      </c>
      <c r="B1088" s="11" t="s">
        <v>8</v>
      </c>
      <c r="C1088" s="11" t="s">
        <v>5</v>
      </c>
      <c r="D1088" s="16" t="str">
        <f>HYPERLINK("https://freddywills.com/pick/6669/nc-state-vs-notre-dame-3-3-premium-play-guaranteed-or-back.html", "NC State +7 3.3% Play ")</f>
        <v xml:space="preserve">NC State +7 3.3% Play </v>
      </c>
      <c r="E1088" s="11">
        <v>3.3</v>
      </c>
      <c r="F1088" s="11">
        <v>-1.1000000000000001</v>
      </c>
      <c r="G1088" s="11" t="s">
        <v>6</v>
      </c>
      <c r="H1088" s="13">
        <v>-3300</v>
      </c>
      <c r="I1088" s="14">
        <f t="shared" si="38"/>
        <v>-0.30223349999999993</v>
      </c>
      <c r="J1088" s="13">
        <f t="shared" si="39"/>
        <v>291653.93000000005</v>
      </c>
    </row>
    <row r="1089" spans="1:10" x14ac:dyDescent="0.25">
      <c r="A1089" s="10">
        <v>43036.645833333336</v>
      </c>
      <c r="B1089" s="11" t="s">
        <v>8</v>
      </c>
      <c r="C1089" s="11" t="s">
        <v>5</v>
      </c>
      <c r="D1089" s="16" t="str">
        <f>HYPERLINK("https://freddywills.com/pick/6674/4-4-ncaaf-play-of-the-day-guaranteed-or-back.html", "TCU -6.5 4.4% POD")</f>
        <v>TCU -6.5 4.4% POD</v>
      </c>
      <c r="E1089" s="11">
        <v>4.4000000000000004</v>
      </c>
      <c r="F1089" s="11">
        <v>-1.1000000000000001</v>
      </c>
      <c r="G1089" s="11" t="s">
        <v>6</v>
      </c>
      <c r="H1089" s="13">
        <v>-4400</v>
      </c>
      <c r="I1089" s="14">
        <f t="shared" si="38"/>
        <v>-0.2692334999999999</v>
      </c>
      <c r="J1089" s="13">
        <f t="shared" si="39"/>
        <v>294953.93000000005</v>
      </c>
    </row>
    <row r="1090" spans="1:10" x14ac:dyDescent="0.25">
      <c r="A1090" s="10">
        <v>43036.604166666664</v>
      </c>
      <c r="B1090" s="11" t="s">
        <v>8</v>
      </c>
      <c r="C1090" s="11" t="s">
        <v>5</v>
      </c>
      <c r="D1090" s="16" t="str">
        <f>HYPERLINK("https://freddywills.com/pick/6672/1-1-free-pick-30-18-l48-free-picks.html", "FIU +17 1.1% Free Play ")</f>
        <v xml:space="preserve">FIU +17 1.1% Free Play </v>
      </c>
      <c r="E1090" s="11">
        <v>1.1000000000000001</v>
      </c>
      <c r="F1090" s="11">
        <v>-1.1000000000000001</v>
      </c>
      <c r="G1090" s="11" t="s">
        <v>4</v>
      </c>
      <c r="H1090" s="13">
        <v>1000</v>
      </c>
      <c r="I1090" s="14">
        <f t="shared" si="38"/>
        <v>-0.22523349999999989</v>
      </c>
      <c r="J1090" s="13">
        <f t="shared" si="39"/>
        <v>299353.93000000005</v>
      </c>
    </row>
    <row r="1091" spans="1:10" x14ac:dyDescent="0.25">
      <c r="A1091" s="10">
        <v>43036.520833333336</v>
      </c>
      <c r="B1091" s="11" t="s">
        <v>8</v>
      </c>
      <c r="C1091" s="11" t="s">
        <v>18</v>
      </c>
      <c r="D1091" s="16" t="str">
        <f>HYPERLINK("https://freddywills.com/pick/6673/ncaaf-dog-of-the-week-guaranteed-or-back-only-5.html", "Virginia +135 2%")</f>
        <v>Virginia +135 2%</v>
      </c>
      <c r="E1091" s="11">
        <v>2</v>
      </c>
      <c r="F1091" s="11">
        <v>1.35</v>
      </c>
      <c r="G1091" s="11" t="s">
        <v>6</v>
      </c>
      <c r="H1091" s="13">
        <v>-2000</v>
      </c>
      <c r="I1091" s="14">
        <f t="shared" si="38"/>
        <v>-0.2352334999999999</v>
      </c>
      <c r="J1091" s="13">
        <f t="shared" si="39"/>
        <v>298353.93000000005</v>
      </c>
    </row>
    <row r="1092" spans="1:10" x14ac:dyDescent="0.25">
      <c r="A1092" s="10">
        <v>43036.513888888891</v>
      </c>
      <c r="B1092" s="11" t="s">
        <v>8</v>
      </c>
      <c r="C1092" s="11" t="s">
        <v>5</v>
      </c>
      <c r="D1092" s="16" t="str">
        <f>HYPERLINK("https://freddywills.com/pick/6671/wake-forest-vs-louisville-guaranteed-or-back-only-5.html", "Wake Forest +3 2.2% play ")</f>
        <v xml:space="preserve">Wake Forest +3 2.2% play </v>
      </c>
      <c r="E1092" s="11">
        <v>2.2000000000000002</v>
      </c>
      <c r="F1092" s="11">
        <v>-1.1000000000000001</v>
      </c>
      <c r="G1092" s="11" t="s">
        <v>4</v>
      </c>
      <c r="H1092" s="13">
        <v>2000</v>
      </c>
      <c r="I1092" s="14">
        <f t="shared" si="38"/>
        <v>-0.21523349999999991</v>
      </c>
      <c r="J1092" s="13">
        <f t="shared" si="39"/>
        <v>300353.93000000005</v>
      </c>
    </row>
    <row r="1093" spans="1:10" x14ac:dyDescent="0.25">
      <c r="A1093" s="10">
        <v>43036.5</v>
      </c>
      <c r="B1093" s="11" t="s">
        <v>8</v>
      </c>
      <c r="C1093" s="11" t="s">
        <v>5</v>
      </c>
      <c r="D1093" s="16" t="str">
        <f>HYPERLINK("https://freddywills.com/pick/6675/bufootball-vs-texasfootball-prediction-against-the-spread-guaranteed-or-back.html", "Baylor +9 3.3% play ")</f>
        <v xml:space="preserve">Baylor +9 3.3% play </v>
      </c>
      <c r="E1093" s="11">
        <v>3.3</v>
      </c>
      <c r="F1093" s="11">
        <v>-1.1000000000000001</v>
      </c>
      <c r="G1093" s="11" t="s">
        <v>6</v>
      </c>
      <c r="H1093" s="13">
        <v>-3300</v>
      </c>
      <c r="I1093" s="14">
        <f t="shared" si="38"/>
        <v>-0.2352334999999999</v>
      </c>
      <c r="J1093" s="13">
        <f t="shared" si="39"/>
        <v>298353.93000000005</v>
      </c>
    </row>
    <row r="1094" spans="1:10" x14ac:dyDescent="0.25">
      <c r="A1094" s="10">
        <v>43035.833333333336</v>
      </c>
      <c r="B1094" s="11" t="s">
        <v>8</v>
      </c>
      <c r="C1094" s="11" t="s">
        <v>5</v>
      </c>
      <c r="D1094" s="16" t="str">
        <f>HYPERLINK("https://freddywills.com/pick/6668/friday-night-lights-florida-state-vs-boston-college-guaranteed-or-back.html", "Florida State -3 -1.20 3.3% play ")</f>
        <v xml:space="preserve">Florida State -3 -1.20 3.3% play </v>
      </c>
      <c r="E1094" s="11">
        <v>3.3</v>
      </c>
      <c r="F1094" s="11">
        <v>-1.2</v>
      </c>
      <c r="G1094" s="11" t="s">
        <v>6</v>
      </c>
      <c r="H1094" s="13">
        <v>-3300</v>
      </c>
      <c r="I1094" s="14">
        <f t="shared" si="38"/>
        <v>-0.2022334999999999</v>
      </c>
      <c r="J1094" s="13">
        <f t="shared" si="39"/>
        <v>301653.93000000005</v>
      </c>
    </row>
    <row r="1095" spans="1:10" x14ac:dyDescent="0.25">
      <c r="A1095" s="10">
        <v>43030.684027777781</v>
      </c>
      <c r="B1095" s="11" t="s">
        <v>2</v>
      </c>
      <c r="C1095" s="11" t="s">
        <v>5</v>
      </c>
      <c r="D1095" s="16" t="str">
        <f>HYPERLINK("https://freddywills.com/pick/6666/broncos-vs-chargers-guaranteed-or-back-66-54-67-292-l120-nfl-picks.html", "Broncos pk 2.2% PLay ")</f>
        <v xml:space="preserve">Broncos pk 2.2% PLay </v>
      </c>
      <c r="E1095" s="11">
        <v>2.2000000000000002</v>
      </c>
      <c r="F1095" s="11">
        <v>-1.1000000000000001</v>
      </c>
      <c r="G1095" s="11" t="s">
        <v>6</v>
      </c>
      <c r="H1095" s="13">
        <v>-2200</v>
      </c>
      <c r="I1095" s="14">
        <f t="shared" si="38"/>
        <v>-0.1692334999999999</v>
      </c>
      <c r="J1095" s="13">
        <f t="shared" si="39"/>
        <v>304953.93000000005</v>
      </c>
    </row>
    <row r="1096" spans="1:10" x14ac:dyDescent="0.25">
      <c r="A1096" s="10">
        <v>43030.541666666664</v>
      </c>
      <c r="B1096" s="11" t="s">
        <v>2</v>
      </c>
      <c r="C1096" s="11" t="s">
        <v>5</v>
      </c>
      <c r="D1096" s="16" t="str">
        <f>HYPERLINK("https://freddywills.com/pick/6664/27-12-ats-run-on-max-rated-nfl-pod-s-sunday-s-guaranteed-pick.html", "Cleveland Browns +6 5.5% NFL POD")</f>
        <v>Cleveland Browns +6 5.5% NFL POD</v>
      </c>
      <c r="E1096" s="11">
        <v>5.5</v>
      </c>
      <c r="F1096" s="11">
        <v>-1.1000000000000001</v>
      </c>
      <c r="G1096" s="11" t="s">
        <v>4</v>
      </c>
      <c r="H1096" s="13">
        <v>5000</v>
      </c>
      <c r="I1096" s="14">
        <f t="shared" si="38"/>
        <v>-0.14723349999999991</v>
      </c>
      <c r="J1096" s="13">
        <f t="shared" si="39"/>
        <v>307153.93000000005</v>
      </c>
    </row>
    <row r="1097" spans="1:10" x14ac:dyDescent="0.25">
      <c r="A1097" s="10">
        <v>43030.541666666664</v>
      </c>
      <c r="B1097" s="11" t="s">
        <v>2</v>
      </c>
      <c r="C1097" s="11" t="s">
        <v>5</v>
      </c>
      <c r="D1097" s="16" t="str">
        <f>HYPERLINK("https://freddywills.com/pick/6665/nfl-dog-of-the-week-56-67-ats-last-90-sports-picks-just-9-99-guaranteed-or-back.html", "Packers +4.5 3.3% Play / Packers +177 1% Play")</f>
        <v>Packers +4.5 3.3% Play / Packers +177 1% Play</v>
      </c>
      <c r="E1097" s="11">
        <v>4.3</v>
      </c>
      <c r="F1097" s="11">
        <v>-1.1000000000000001</v>
      </c>
      <c r="G1097" s="11" t="s">
        <v>6</v>
      </c>
      <c r="H1097" s="13">
        <v>-4300</v>
      </c>
      <c r="I1097" s="14">
        <f t="shared" si="38"/>
        <v>-0.1972334999999999</v>
      </c>
      <c r="J1097" s="13">
        <f t="shared" si="39"/>
        <v>302153.93000000005</v>
      </c>
    </row>
    <row r="1098" spans="1:10" x14ac:dyDescent="0.25">
      <c r="A1098" s="10">
        <v>43030.541666666664</v>
      </c>
      <c r="B1098" s="11" t="s">
        <v>2</v>
      </c>
      <c r="C1098" s="11" t="s">
        <v>5</v>
      </c>
      <c r="D1098" s="16" t="str">
        <f>HYPERLINK("https://freddywills.com/pick/6667/ravens-vs-vikings-premium-play-only-5-guaranteed-or-back.html", "Ravens +5.5 2.2% play ")</f>
        <v xml:space="preserve">Ravens +5.5 2.2% play </v>
      </c>
      <c r="E1098" s="11">
        <v>2.2000000000000002</v>
      </c>
      <c r="F1098" s="11">
        <v>-1.1000000000000001</v>
      </c>
      <c r="G1098" s="11" t="s">
        <v>6</v>
      </c>
      <c r="H1098" s="13">
        <v>-2200</v>
      </c>
      <c r="I1098" s="14">
        <f t="shared" si="38"/>
        <v>-0.15423349999999991</v>
      </c>
      <c r="J1098" s="13">
        <f t="shared" si="39"/>
        <v>306453.93000000005</v>
      </c>
    </row>
    <row r="1099" spans="1:10" x14ac:dyDescent="0.25">
      <c r="A1099" s="10">
        <v>43029.815972222219</v>
      </c>
      <c r="B1099" s="11" t="s">
        <v>8</v>
      </c>
      <c r="C1099" s="11" t="s">
        <v>5</v>
      </c>
      <c r="D1099" s="16" t="str">
        <f>HYPERLINK("https://freddywills.com/pick/6659/max-rated-ncaaf-pod-52-27-last-79-max-rated-pod-s-guaranteed-or-back.html", "Michigan +9.5 5.5% POD")</f>
        <v>Michigan +9.5 5.5% POD</v>
      </c>
      <c r="E1099" s="11">
        <v>5.5</v>
      </c>
      <c r="F1099" s="11">
        <v>-1.1000000000000001</v>
      </c>
      <c r="G1099" s="11" t="s">
        <v>6</v>
      </c>
      <c r="H1099" s="13">
        <v>-5500</v>
      </c>
      <c r="I1099" s="14">
        <f t="shared" si="38"/>
        <v>-0.13223349999999992</v>
      </c>
      <c r="J1099" s="13">
        <f t="shared" si="39"/>
        <v>308653.93000000005</v>
      </c>
    </row>
    <row r="1100" spans="1:10" x14ac:dyDescent="0.25">
      <c r="A1100" s="10">
        <v>43029.791666666664</v>
      </c>
      <c r="B1100" s="11" t="s">
        <v>8</v>
      </c>
      <c r="C1100" s="11" t="s">
        <v>5</v>
      </c>
      <c r="D1100" s="16" t="str">
        <f>HYPERLINK("https://freddywills.com/pick/6657/3-3-play-247-186-l433-ncaaf-3-plays-bonus-dog-play-350.html", "Tulane +11.5 / +370 3.3% / 0.5%")</f>
        <v>Tulane +11.5 / +370 3.3% / 0.5%</v>
      </c>
      <c r="E1100" s="11">
        <v>3.8</v>
      </c>
      <c r="F1100" s="11">
        <v>-1.1000000000000001</v>
      </c>
      <c r="G1100" s="11" t="s">
        <v>4</v>
      </c>
      <c r="H1100" s="13">
        <v>2500</v>
      </c>
      <c r="I1100" s="14">
        <f t="shared" si="38"/>
        <v>-7.7233499999999927E-2</v>
      </c>
      <c r="J1100" s="13">
        <f t="shared" si="39"/>
        <v>314153.93000000005</v>
      </c>
    </row>
    <row r="1101" spans="1:10" x14ac:dyDescent="0.25">
      <c r="A1101" s="10">
        <v>43029.666666666664</v>
      </c>
      <c r="B1101" s="11" t="s">
        <v>8</v>
      </c>
      <c r="C1101" s="11" t="s">
        <v>18</v>
      </c>
      <c r="D1101" s="16" t="str">
        <f>HYPERLINK("https://freddywills.com/pick/6662/dog-of-the-week-pac-12-action-200-or-more-guaranteed-or-back.html", "Oregon +220 2.5% Dog of the Week!")</f>
        <v>Oregon +220 2.5% Dog of the Week!</v>
      </c>
      <c r="E1101" s="11">
        <v>2.5</v>
      </c>
      <c r="F1101" s="11">
        <v>2.2000000000000002</v>
      </c>
      <c r="G1101" s="11" t="s">
        <v>6</v>
      </c>
      <c r="H1101" s="13">
        <v>-2500</v>
      </c>
      <c r="I1101" s="14">
        <f t="shared" si="38"/>
        <v>-0.10223349999999992</v>
      </c>
      <c r="J1101" s="13">
        <f t="shared" si="39"/>
        <v>311653.93000000005</v>
      </c>
    </row>
    <row r="1102" spans="1:10" x14ac:dyDescent="0.25">
      <c r="A1102" s="10">
        <v>43029.513888888891</v>
      </c>
      <c r="B1102" s="11" t="s">
        <v>8</v>
      </c>
      <c r="C1102" s="11" t="s">
        <v>5</v>
      </c>
      <c r="D1102" s="16" t="str">
        <f>HYPERLINK("https://freddywills.com/pick/6656/pitt-fb-vs-dukefootball-premium-pick-guaranteed-or-back-just-5.html", "Pitt +8 2.2% Play ")</f>
        <v xml:space="preserve">Pitt +8 2.2% Play </v>
      </c>
      <c r="E1102" s="11">
        <v>2.2000000000000002</v>
      </c>
      <c r="F1102" s="11">
        <v>-1.1000000000000001</v>
      </c>
      <c r="G1102" s="11" t="s">
        <v>4</v>
      </c>
      <c r="H1102" s="13">
        <v>2000</v>
      </c>
      <c r="I1102" s="14">
        <f t="shared" si="38"/>
        <v>-7.7233499999999913E-2</v>
      </c>
      <c r="J1102" s="13">
        <f t="shared" si="39"/>
        <v>314153.93000000005</v>
      </c>
    </row>
    <row r="1103" spans="1:10" x14ac:dyDescent="0.25">
      <c r="A1103" s="10">
        <v>43029.5</v>
      </c>
      <c r="B1103" s="11" t="s">
        <v>8</v>
      </c>
      <c r="C1103" s="11" t="s">
        <v>5</v>
      </c>
      <c r="D1103" s="16" t="str">
        <f>HYPERLINK("https://freddywills.com/pick/6658/cowboyfb-vs-texasfootball-premium-play-prediction-guaranteed-or-back.html", "Texas +7 -105 2.5% play")</f>
        <v>Texas +7 -105 2.5% play</v>
      </c>
      <c r="E1103" s="11">
        <v>2.5</v>
      </c>
      <c r="F1103" s="11">
        <v>-1.05</v>
      </c>
      <c r="G1103" s="11" t="s">
        <v>4</v>
      </c>
      <c r="H1103" s="13">
        <v>2380.9499999999998</v>
      </c>
      <c r="I1103" s="14">
        <f t="shared" si="38"/>
        <v>-9.7233499999999917E-2</v>
      </c>
      <c r="J1103" s="13">
        <f t="shared" si="39"/>
        <v>312153.93000000005</v>
      </c>
    </row>
    <row r="1104" spans="1:10" x14ac:dyDescent="0.25">
      <c r="A1104" s="10">
        <v>43029.5</v>
      </c>
      <c r="B1104" s="11" t="s">
        <v>8</v>
      </c>
      <c r="C1104" s="11" t="s">
        <v>5</v>
      </c>
      <c r="D1104" s="16" t="str">
        <f>HYPERLINK("https://freddywills.com/pick/6660/29-18-ats-l47-free-sports-picks-missouri-vs-idaho.html", "Missouri -13.5 1.1% Free Play ")</f>
        <v xml:space="preserve">Missouri -13.5 1.1% Free Play </v>
      </c>
      <c r="E1104" s="11">
        <v>1.1000000000000001</v>
      </c>
      <c r="F1104" s="11">
        <v>-1.1000000000000001</v>
      </c>
      <c r="G1104" s="11" t="s">
        <v>4</v>
      </c>
      <c r="H1104" s="13">
        <v>1000</v>
      </c>
      <c r="I1104" s="14">
        <f t="shared" si="38"/>
        <v>-0.12104299999999991</v>
      </c>
      <c r="J1104" s="13">
        <f t="shared" si="39"/>
        <v>309772.98000000004</v>
      </c>
    </row>
    <row r="1105" spans="1:10" x14ac:dyDescent="0.25">
      <c r="A1105" s="10">
        <v>43029.5</v>
      </c>
      <c r="B1105" s="11" t="s">
        <v>8</v>
      </c>
      <c r="C1105" s="11" t="s">
        <v>10</v>
      </c>
      <c r="D1105" s="16" t="str">
        <f>HYPERLINK("https://freddywills.com/pick/6661/college-football-teaser-of-the-week-guaranteed-or-back.html", "Northwestern +8 / Michigan St -0.5 4.4% Teaser")</f>
        <v>Northwestern +8 / Michigan St -0.5 4.4% Teaser</v>
      </c>
      <c r="E1105" s="11">
        <v>4.4000000000000004</v>
      </c>
      <c r="F1105" s="11">
        <v>-1.1000000000000001</v>
      </c>
      <c r="G1105" s="11" t="s">
        <v>4</v>
      </c>
      <c r="H1105" s="13">
        <v>4000</v>
      </c>
      <c r="I1105" s="14">
        <f t="shared" si="38"/>
        <v>-0.13104299999999991</v>
      </c>
      <c r="J1105" s="13">
        <f t="shared" si="39"/>
        <v>308772.98000000004</v>
      </c>
    </row>
    <row r="1106" spans="1:10" x14ac:dyDescent="0.25">
      <c r="A1106" s="10">
        <v>43028.75</v>
      </c>
      <c r="B1106" s="11" t="s">
        <v>8</v>
      </c>
      <c r="C1106" s="11" t="s">
        <v>5</v>
      </c>
      <c r="D1106" s="16" t="str">
        <f>HYPERLINK("https://freddywills.com/pick/6663/friday-night-lights-western-kentucky-vs-old-dominion.html", "Old Dominion +8 3.3% play / ODU +260 1% play")</f>
        <v>Old Dominion +8 3.3% play / ODU +260 1% play</v>
      </c>
      <c r="E1106" s="11">
        <v>4.3</v>
      </c>
      <c r="F1106" s="11">
        <v>-1.1000000000000001</v>
      </c>
      <c r="G1106" s="11" t="s">
        <v>4</v>
      </c>
      <c r="H1106" s="13">
        <v>2000</v>
      </c>
      <c r="I1106" s="14">
        <f t="shared" si="38"/>
        <v>-0.17104299999999992</v>
      </c>
      <c r="J1106" s="13">
        <f t="shared" si="39"/>
        <v>304772.98000000004</v>
      </c>
    </row>
    <row r="1107" spans="1:10" x14ac:dyDescent="0.25">
      <c r="A1107" s="10">
        <v>43027.833333333336</v>
      </c>
      <c r="B1107" s="11" t="s">
        <v>8</v>
      </c>
      <c r="C1107" s="11" t="s">
        <v>5</v>
      </c>
      <c r="D1107" s="16" t="str">
        <f>HYPERLINK("https://freddywills.com/pick/6655/ncaaf-pod-american-athletic-game-of-the-week-houston-vs-memphis-guaranteed-or-back.html", "Houston -3 4.4% NCAAF POD")</f>
        <v>Houston -3 4.4% NCAAF POD</v>
      </c>
      <c r="E1107" s="11">
        <v>4.4000000000000004</v>
      </c>
      <c r="F1107" s="11">
        <v>-1.1000000000000001</v>
      </c>
      <c r="G1107" s="11" t="s">
        <v>6</v>
      </c>
      <c r="H1107" s="13">
        <v>-4400</v>
      </c>
      <c r="I1107" s="14">
        <f t="shared" si="38"/>
        <v>-0.19104299999999991</v>
      </c>
      <c r="J1107" s="13">
        <f t="shared" si="39"/>
        <v>302772.98000000004</v>
      </c>
    </row>
    <row r="1108" spans="1:10" x14ac:dyDescent="0.25">
      <c r="A1108" s="10">
        <v>43023.684027777781</v>
      </c>
      <c r="B1108" s="11" t="s">
        <v>2</v>
      </c>
      <c r="C1108" s="11" t="s">
        <v>5</v>
      </c>
      <c r="D1108" s="16" t="str">
        <f>HYPERLINK("https://freddywills.com/pick/6652/steelers-vs-chiefs-3-3-guarnanteed-or-back.html", "Steelers +4.5 3.3% play ")</f>
        <v xml:space="preserve">Steelers +4.5 3.3% play </v>
      </c>
      <c r="E1108" s="11">
        <v>3.3</v>
      </c>
      <c r="F1108" s="11">
        <v>-1.1000000000000001</v>
      </c>
      <c r="G1108" s="11" t="s">
        <v>4</v>
      </c>
      <c r="H1108" s="13">
        <v>3000</v>
      </c>
      <c r="I1108" s="14">
        <f t="shared" si="38"/>
        <v>-0.14704299999999992</v>
      </c>
      <c r="J1108" s="13">
        <f t="shared" si="39"/>
        <v>307172.98000000004</v>
      </c>
    </row>
    <row r="1109" spans="1:10" x14ac:dyDescent="0.25">
      <c r="A1109" s="10">
        <v>43023.545138888891</v>
      </c>
      <c r="B1109" s="11" t="s">
        <v>2</v>
      </c>
      <c r="C1109" s="11" t="s">
        <v>5</v>
      </c>
      <c r="D1109" s="16" t="str">
        <f>HYPERLINK("https://freddywills.com/pick/6651/nfl-play-of-the-day-27-11-ats-l38-nfl-max-pod-s-guaranteed-or-back.html", "BROWNS +10 5.5% POD")</f>
        <v>BROWNS +10 5.5% POD</v>
      </c>
      <c r="E1109" s="11">
        <v>5.5</v>
      </c>
      <c r="F1109" s="11">
        <v>-1.1000000000000001</v>
      </c>
      <c r="G1109" s="11" t="s">
        <v>6</v>
      </c>
      <c r="H1109" s="13">
        <v>-5500</v>
      </c>
      <c r="I1109" s="14">
        <f t="shared" si="38"/>
        <v>-0.17704299999999992</v>
      </c>
      <c r="J1109" s="13">
        <f t="shared" si="39"/>
        <v>304172.98000000004</v>
      </c>
    </row>
    <row r="1110" spans="1:10" x14ac:dyDescent="0.25">
      <c r="A1110" s="10">
        <v>43023.545138888891</v>
      </c>
      <c r="B1110" s="11" t="s">
        <v>2</v>
      </c>
      <c r="C1110" s="11" t="s">
        <v>5</v>
      </c>
      <c r="D1110" s="16" t="str">
        <f>HYPERLINK("https://freddywills.com/pick/6653/vikings-vs-packers-going-early-on-sunday-guaranteed-or-back.html", "Vikings +3 3.3% play ")</f>
        <v xml:space="preserve">Vikings +3 3.3% play </v>
      </c>
      <c r="E1110" s="11">
        <v>3.3</v>
      </c>
      <c r="F1110" s="11">
        <v>-1.1000000000000001</v>
      </c>
      <c r="G1110" s="11" t="s">
        <v>4</v>
      </c>
      <c r="H1110" s="13">
        <v>3000</v>
      </c>
      <c r="I1110" s="14">
        <f t="shared" si="38"/>
        <v>-0.12204299999999993</v>
      </c>
      <c r="J1110" s="13">
        <f t="shared" si="39"/>
        <v>309672.98000000004</v>
      </c>
    </row>
    <row r="1111" spans="1:10" x14ac:dyDescent="0.25">
      <c r="A1111" s="10">
        <v>43022.8125</v>
      </c>
      <c r="B1111" s="11" t="s">
        <v>8</v>
      </c>
      <c r="C1111" s="11" t="s">
        <v>5</v>
      </c>
      <c r="D1111" s="16" t="str">
        <f>HYPERLINK("https://freddywills.com/pick/6649/huskers-vs-ohiostatefb-prediction-full-in-depth-analysis-guaranteed-or-back.html", "Nebraska +24.5 3.3% Play ")</f>
        <v xml:space="preserve">Nebraska +24.5 3.3% Play </v>
      </c>
      <c r="E1111" s="11">
        <v>3.3</v>
      </c>
      <c r="F1111" s="11">
        <v>-1.1000000000000001</v>
      </c>
      <c r="G1111" s="11" t="s">
        <v>6</v>
      </c>
      <c r="H1111" s="13">
        <v>-3300</v>
      </c>
      <c r="I1111" s="14">
        <f t="shared" si="38"/>
        <v>-0.15204299999999993</v>
      </c>
      <c r="J1111" s="13">
        <f t="shared" si="39"/>
        <v>306672.98000000004</v>
      </c>
    </row>
    <row r="1112" spans="1:10" x14ac:dyDescent="0.25">
      <c r="A1112" s="10">
        <v>43022.8125</v>
      </c>
      <c r="B1112" s="11" t="s">
        <v>8</v>
      </c>
      <c r="C1112" s="11" t="s">
        <v>5</v>
      </c>
      <c r="D1112" s="16" t="str">
        <f>HYPERLINK("https://freddywills.com/pick/6650/saturday-s-free-pick-16-5-1-ats-last-22-free-college-football-plays.html", "Cinci +24 1.1% Free Play ")</f>
        <v xml:space="preserve">Cinci +24 1.1% Free Play </v>
      </c>
      <c r="E1112" s="11">
        <v>1.1000000000000001</v>
      </c>
      <c r="F1112" s="11">
        <v>-1.1000000000000001</v>
      </c>
      <c r="G1112" s="11" t="s">
        <v>6</v>
      </c>
      <c r="H1112" s="13">
        <v>-1100</v>
      </c>
      <c r="I1112" s="14">
        <f t="shared" si="38"/>
        <v>-0.11904299999999994</v>
      </c>
      <c r="J1112" s="13">
        <f t="shared" si="39"/>
        <v>309972.98000000004</v>
      </c>
    </row>
    <row r="1113" spans="1:10" x14ac:dyDescent="0.25">
      <c r="A1113" s="10">
        <v>43022.645833333336</v>
      </c>
      <c r="B1113" s="11" t="s">
        <v>8</v>
      </c>
      <c r="C1113" s="11" t="s">
        <v>5</v>
      </c>
      <c r="D1113" s="16" t="str">
        <f>HYPERLINK("https://freddywills.com/pick/6644/saturday-s-mac-game-of-the-week-3-play-245-183-last-428-3-ncaaf-guaranteed-or-back.html", "Northern Illinois -5.5 3.3% Play ")</f>
        <v xml:space="preserve">Northern Illinois -5.5 3.3% Play </v>
      </c>
      <c r="E1113" s="11">
        <v>3.3</v>
      </c>
      <c r="F1113" s="11">
        <v>-1.1000000000000001</v>
      </c>
      <c r="G1113" s="11" t="s">
        <v>6</v>
      </c>
      <c r="H1113" s="13">
        <v>-3300</v>
      </c>
      <c r="I1113" s="14">
        <f t="shared" si="38"/>
        <v>-0.10804299999999994</v>
      </c>
      <c r="J1113" s="13">
        <f t="shared" si="39"/>
        <v>311072.98000000004</v>
      </c>
    </row>
    <row r="1114" spans="1:10" x14ac:dyDescent="0.25">
      <c r="A1114" s="10">
        <v>43022.645833333336</v>
      </c>
      <c r="B1114" s="11" t="s">
        <v>8</v>
      </c>
      <c r="C1114" s="11" t="s">
        <v>5</v>
      </c>
      <c r="D1114" s="16" t="str">
        <f>HYPERLINK("https://freddywills.com/pick/6645/saturday-s-max-rated-ncaaf-pod-guaranteed-or-back.html", "Vanderbilt +3.5 5.5% POD")</f>
        <v>Vanderbilt +3.5 5.5% POD</v>
      </c>
      <c r="E1114" s="11">
        <v>5.5</v>
      </c>
      <c r="F1114" s="11">
        <v>-1.1000000000000001</v>
      </c>
      <c r="G1114" s="11" t="s">
        <v>6</v>
      </c>
      <c r="H1114" s="13">
        <v>-5500</v>
      </c>
      <c r="I1114" s="14">
        <f t="shared" si="38"/>
        <v>-7.5042999999999943E-2</v>
      </c>
      <c r="J1114" s="13">
        <f t="shared" si="39"/>
        <v>314372.98000000004</v>
      </c>
    </row>
    <row r="1115" spans="1:10" x14ac:dyDescent="0.25">
      <c r="A1115" s="10">
        <v>43022.645833333336</v>
      </c>
      <c r="B1115" s="11" t="s">
        <v>8</v>
      </c>
      <c r="C1115" s="11" t="s">
        <v>5</v>
      </c>
      <c r="D1115" s="16" t="str">
        <f>HYPERLINK("https://freddywills.com/pick/6646/red-river-rivalry-texasfootball-vs-ou-football-3-play-57-l428-ncaaf-3-plays.html", "Texas +9 3.3% Play ")</f>
        <v xml:space="preserve">Texas +9 3.3% Play </v>
      </c>
      <c r="E1115" s="11">
        <v>3.3</v>
      </c>
      <c r="F1115" s="11">
        <v>-1.1000000000000001</v>
      </c>
      <c r="G1115" s="11" t="s">
        <v>4</v>
      </c>
      <c r="H1115" s="13">
        <v>3000</v>
      </c>
      <c r="I1115" s="14">
        <f t="shared" si="38"/>
        <v>-2.004299999999995E-2</v>
      </c>
      <c r="J1115" s="13">
        <f t="shared" si="39"/>
        <v>319872.98000000004</v>
      </c>
    </row>
    <row r="1116" spans="1:10" x14ac:dyDescent="0.25">
      <c r="A1116" s="10">
        <v>43022.5</v>
      </c>
      <c r="B1116" s="11" t="s">
        <v>8</v>
      </c>
      <c r="C1116" s="11" t="s">
        <v>5</v>
      </c>
      <c r="D1116" s="16" t="str">
        <f>HYPERLINK("https://freddywills.com/pick/6647/4-play-58-ats-l282-ncaaf-4-plays-wvufootball-vs-texastechfb-guaranteed-or-back.html", "West Virginia -3 -120 (-3.5 -105 everywhere) 4% play")</f>
        <v>West Virginia -3 -120 (-3.5 -105 everywhere) 4% play</v>
      </c>
      <c r="E1116" s="11">
        <v>4</v>
      </c>
      <c r="F1116" s="11">
        <v>-1.2</v>
      </c>
      <c r="G1116" s="11" t="s">
        <v>4</v>
      </c>
      <c r="H1116" s="13">
        <v>3333</v>
      </c>
      <c r="I1116" s="14">
        <f t="shared" si="38"/>
        <v>-5.0042999999999949E-2</v>
      </c>
      <c r="J1116" s="13">
        <f t="shared" si="39"/>
        <v>316872.98000000004</v>
      </c>
    </row>
    <row r="1117" spans="1:10" x14ac:dyDescent="0.25">
      <c r="A1117" s="10">
        <v>43022.5</v>
      </c>
      <c r="B1117" s="11" t="s">
        <v>8</v>
      </c>
      <c r="C1117" s="11" t="s">
        <v>18</v>
      </c>
      <c r="D1117" s="16" t="str">
        <f>HYPERLINK("https://freddywills.com/pick/6648/espncfb-dog-of-the-week-only-5-guaranteed-or-back.html", "Rutgers +120 2.5% Play ")</f>
        <v xml:space="preserve">Rutgers +120 2.5% Play </v>
      </c>
      <c r="E1117" s="11">
        <v>2.5</v>
      </c>
      <c r="F1117" s="11">
        <v>1.2</v>
      </c>
      <c r="G1117" s="11" t="s">
        <v>4</v>
      </c>
      <c r="H1117" s="13">
        <v>3000</v>
      </c>
      <c r="I1117" s="14">
        <f t="shared" si="38"/>
        <v>-8.3372999999999947E-2</v>
      </c>
      <c r="J1117" s="13">
        <f t="shared" si="39"/>
        <v>313539.98000000004</v>
      </c>
    </row>
    <row r="1118" spans="1:10" x14ac:dyDescent="0.25">
      <c r="A1118" s="10">
        <v>43022.5</v>
      </c>
      <c r="B1118" s="11" t="s">
        <v>8</v>
      </c>
      <c r="C1118" s="11" t="s">
        <v>10</v>
      </c>
      <c r="D1118" s="16" t="str">
        <f>HYPERLINK("https://freddywills.com/pick/6654/teaser-of-the-week-starts-at-noon-over-58-career-winners.html", "Michigan -1 / San Diego St PK 3.3% Teaser")</f>
        <v>Michigan -1 / San Diego St PK 3.3% Teaser</v>
      </c>
      <c r="E1118" s="11">
        <v>3.3</v>
      </c>
      <c r="F1118" s="11">
        <v>-1.1000000000000001</v>
      </c>
      <c r="G1118" s="11" t="s">
        <v>6</v>
      </c>
      <c r="H1118" s="13">
        <v>-3300</v>
      </c>
      <c r="I1118" s="14">
        <f t="shared" si="38"/>
        <v>-0.11337299999999995</v>
      </c>
      <c r="J1118" s="13">
        <f t="shared" si="39"/>
        <v>310539.98000000004</v>
      </c>
    </row>
    <row r="1119" spans="1:10" x14ac:dyDescent="0.25">
      <c r="A1119" s="10">
        <v>43021.9375</v>
      </c>
      <c r="B1119" s="11" t="s">
        <v>8</v>
      </c>
      <c r="C1119" s="11" t="s">
        <v>5</v>
      </c>
      <c r="D1119" s="16" t="str">
        <f>HYPERLINK("https://freddywills.com/pick/6643/friday-s-commute-podcast-play-3-1-this-year-245-183-57-ats-l428-3-ncaaf-plays.html", "California +15 3.3% Play")</f>
        <v>California +15 3.3% Play</v>
      </c>
      <c r="E1119" s="11">
        <v>3.3</v>
      </c>
      <c r="F1119" s="11">
        <v>-1.1000000000000001</v>
      </c>
      <c r="G1119" s="11" t="s">
        <v>4</v>
      </c>
      <c r="H1119" s="13">
        <v>3000</v>
      </c>
      <c r="I1119" s="14">
        <f t="shared" si="38"/>
        <v>-8.0372999999999944E-2</v>
      </c>
      <c r="J1119" s="13">
        <f t="shared" si="39"/>
        <v>313839.98000000004</v>
      </c>
    </row>
    <row r="1120" spans="1:10" x14ac:dyDescent="0.25">
      <c r="A1120" s="10">
        <v>43016.541666666664</v>
      </c>
      <c r="B1120" s="11" t="s">
        <v>2</v>
      </c>
      <c r="C1120" s="11" t="s">
        <v>5</v>
      </c>
      <c r="D1120" s="16" t="str">
        <f>HYPERLINK("https://freddywills.com/pick/6637/nfl-action-sunday-63-49-ats-last-112-sports-picks-guaranteed-or-back.html", "Bengals -3 3.3% Play ")</f>
        <v xml:space="preserve">Bengals -3 3.3% Play </v>
      </c>
      <c r="E1120" s="11">
        <v>3.3</v>
      </c>
      <c r="F1120" s="11">
        <v>-1.1000000000000001</v>
      </c>
      <c r="G1120" s="11" t="s">
        <v>4</v>
      </c>
      <c r="H1120" s="13">
        <v>3000</v>
      </c>
      <c r="I1120" s="14">
        <f t="shared" si="38"/>
        <v>-0.11037299999999994</v>
      </c>
      <c r="J1120" s="13">
        <f t="shared" si="39"/>
        <v>310839.98000000004</v>
      </c>
    </row>
    <row r="1121" spans="1:10" x14ac:dyDescent="0.25">
      <c r="A1121" s="10">
        <v>43016.541666666664</v>
      </c>
      <c r="B1121" s="11" t="s">
        <v>2</v>
      </c>
      <c r="C1121" s="11" t="s">
        <v>18</v>
      </c>
      <c r="D1121" s="16" t="str">
        <f>HYPERLINK("https://freddywills.com/pick/6642/5-5-nfl-max-play-of-the-day-26-11-ats-l37-max-nfl-guaranteed-or-back.html", "Dolphins -120 5.5% POD")</f>
        <v>Dolphins -120 5.5% POD</v>
      </c>
      <c r="E1121" s="11">
        <v>5.5</v>
      </c>
      <c r="F1121" s="11">
        <v>-1.2</v>
      </c>
      <c r="G1121" s="11" t="s">
        <v>4</v>
      </c>
      <c r="H1121" s="13">
        <v>4583</v>
      </c>
      <c r="I1121" s="14">
        <f t="shared" si="38"/>
        <v>-0.14037299999999994</v>
      </c>
      <c r="J1121" s="13">
        <f t="shared" si="39"/>
        <v>307839.98000000004</v>
      </c>
    </row>
    <row r="1122" spans="1:10" x14ac:dyDescent="0.25">
      <c r="A1122" s="10">
        <v>43015.833333333336</v>
      </c>
      <c r="B1122" s="11" t="s">
        <v>8</v>
      </c>
      <c r="C1122" s="11" t="s">
        <v>18</v>
      </c>
      <c r="D1122" s="16" t="str">
        <f>HYPERLINK("https://freddywills.com/pick/6630/13-3-ats-last-16-max-rated-ncaaf-pod-s-guaranteed-or-back.html", "Oregon +120 5.5% POD")</f>
        <v>Oregon +120 5.5% POD</v>
      </c>
      <c r="E1122" s="11">
        <v>5.5</v>
      </c>
      <c r="F1122" s="11">
        <v>1.2</v>
      </c>
      <c r="G1122" s="11" t="s">
        <v>6</v>
      </c>
      <c r="H1122" s="13">
        <v>-5500</v>
      </c>
      <c r="I1122" s="14">
        <f t="shared" si="38"/>
        <v>-0.18620299999999995</v>
      </c>
      <c r="J1122" s="13">
        <f t="shared" si="39"/>
        <v>303256.98000000004</v>
      </c>
    </row>
    <row r="1123" spans="1:10" x14ac:dyDescent="0.25">
      <c r="A1123" s="10">
        <v>43015.833333333336</v>
      </c>
      <c r="B1123" s="11" t="s">
        <v>8</v>
      </c>
      <c r="C1123" s="11" t="s">
        <v>7</v>
      </c>
      <c r="D1123" s="16" t="str">
        <f>HYPERLINK("https://freddywills.com/pick/6633/total-play-of-the-week-3-3-bankroll-play-55-9-against-the-total-career-college-totals.html", "Wisconsin/Nebraska Under 46 3.3% play ")</f>
        <v xml:space="preserve">Wisconsin/Nebraska Under 46 3.3% play </v>
      </c>
      <c r="E1123" s="11">
        <v>3.3</v>
      </c>
      <c r="F1123" s="11">
        <v>-1.1000000000000001</v>
      </c>
      <c r="G1123" s="11" t="s">
        <v>6</v>
      </c>
      <c r="H1123" s="13">
        <v>-3300</v>
      </c>
      <c r="I1123" s="14">
        <f t="shared" si="38"/>
        <v>-0.13120299999999996</v>
      </c>
      <c r="J1123" s="13">
        <f t="shared" si="39"/>
        <v>308756.98000000004</v>
      </c>
    </row>
    <row r="1124" spans="1:10" x14ac:dyDescent="0.25">
      <c r="A1124" s="10">
        <v>43015.8125</v>
      </c>
      <c r="B1124" s="11" t="s">
        <v>8</v>
      </c>
      <c r="C1124" s="11" t="s">
        <v>5</v>
      </c>
      <c r="D1124" s="16" t="str">
        <f>HYPERLINK("https://freddywills.com/pick/6640/michigan-vs-michigan-state-play-and-analysis-guaranteed-or-back-just-5.html", "Michigan -10 2.2% play ")</f>
        <v xml:space="preserve">Michigan -10 2.2% play </v>
      </c>
      <c r="E1124" s="11">
        <v>2.2000000000000002</v>
      </c>
      <c r="F1124" s="11">
        <v>-1.1000000000000001</v>
      </c>
      <c r="G1124" s="11" t="s">
        <v>6</v>
      </c>
      <c r="H1124" s="13">
        <v>-2200</v>
      </c>
      <c r="I1124" s="14">
        <f t="shared" si="38"/>
        <v>-9.8202999999999957E-2</v>
      </c>
      <c r="J1124" s="13">
        <f t="shared" si="39"/>
        <v>312056.98000000004</v>
      </c>
    </row>
    <row r="1125" spans="1:10" x14ac:dyDescent="0.25">
      <c r="A1125" s="10">
        <v>43015.791666666664</v>
      </c>
      <c r="B1125" s="11" t="s">
        <v>8</v>
      </c>
      <c r="C1125" s="11" t="s">
        <v>7</v>
      </c>
      <c r="D1125" s="16" t="str">
        <f>HYPERLINK("https://freddywills.com/pick/6634/big12conference-game-of-the-week-kansas-state-vs-texas-total-play.html", "KState/Texas U49.5 2.2% Play ")</f>
        <v xml:space="preserve">KState/Texas U49.5 2.2% Play </v>
      </c>
      <c r="E1125" s="11">
        <v>2.2000000000000002</v>
      </c>
      <c r="F1125" s="11">
        <v>-1.1000000000000001</v>
      </c>
      <c r="G1125" s="11" t="s">
        <v>6</v>
      </c>
      <c r="H1125" s="13">
        <v>-2200</v>
      </c>
      <c r="I1125" s="14">
        <f t="shared" si="38"/>
        <v>-7.6202999999999965E-2</v>
      </c>
      <c r="J1125" s="13">
        <f t="shared" si="39"/>
        <v>314256.98000000004</v>
      </c>
    </row>
    <row r="1126" spans="1:10" x14ac:dyDescent="0.25">
      <c r="A1126" s="10">
        <v>43015.645833333336</v>
      </c>
      <c r="B1126" s="11" t="s">
        <v>8</v>
      </c>
      <c r="C1126" s="11" t="s">
        <v>7</v>
      </c>
      <c r="D1126" s="16" t="str">
        <f>HYPERLINK("https://freddywills.com/pick/6629/macsports-game-of-the-week-total-play-56-against-the-total-in-career.html", "Northern Illinois / Kent State Under 49 2.2% play")</f>
        <v>Northern Illinois / Kent State Under 49 2.2% play</v>
      </c>
      <c r="E1126" s="11">
        <v>2.2000000000000002</v>
      </c>
      <c r="F1126" s="11">
        <v>-1.1000000000000001</v>
      </c>
      <c r="G1126" s="11" t="s">
        <v>4</v>
      </c>
      <c r="H1126" s="13">
        <v>2000</v>
      </c>
      <c r="I1126" s="14">
        <f t="shared" si="38"/>
        <v>-5.420299999999996E-2</v>
      </c>
      <c r="J1126" s="13">
        <f t="shared" si="39"/>
        <v>316456.98000000004</v>
      </c>
    </row>
    <row r="1127" spans="1:10" x14ac:dyDescent="0.25">
      <c r="A1127" s="10">
        <v>43015.645833333336</v>
      </c>
      <c r="B1127" s="11" t="s">
        <v>8</v>
      </c>
      <c r="C1127" s="11" t="s">
        <v>5</v>
      </c>
      <c r="D1127" s="16" t="str">
        <f>HYPERLINK("https://freddywills.com/pick/6631/lsu-vs-florida-winner-3-3-play-32-21-ats-last-53-3-plays-12-6-ats-career-backing-this-te.html", "LSU +2.5 3.3% PLAY")</f>
        <v>LSU +2.5 3.3% PLAY</v>
      </c>
      <c r="E1127" s="11">
        <v>3.3</v>
      </c>
      <c r="F1127" s="11">
        <v>-1.1000000000000001</v>
      </c>
      <c r="G1127" s="11" t="s">
        <v>4</v>
      </c>
      <c r="H1127" s="13">
        <v>3000</v>
      </c>
      <c r="I1127" s="14">
        <f t="shared" si="38"/>
        <v>-7.4202999999999963E-2</v>
      </c>
      <c r="J1127" s="13">
        <f t="shared" si="39"/>
        <v>314456.98000000004</v>
      </c>
    </row>
    <row r="1128" spans="1:10" x14ac:dyDescent="0.25">
      <c r="A1128" s="10">
        <v>43015.645833333336</v>
      </c>
      <c r="B1128" s="11" t="s">
        <v>8</v>
      </c>
      <c r="C1128" s="11" t="s">
        <v>5</v>
      </c>
      <c r="D1128" s="16" t="str">
        <f>HYPERLINK("https://freddywills.com/pick/6632/75-ats-backing-this-team-over-9-years-776-658-ats-last-1434-ncaaf-picks.html", "Minnesota +4 2.2% Play ")</f>
        <v xml:space="preserve">Minnesota +4 2.2% Play </v>
      </c>
      <c r="E1128" s="11">
        <v>2.2000000000000002</v>
      </c>
      <c r="F1128" s="11">
        <v>-1.1000000000000001</v>
      </c>
      <c r="G1128" s="11" t="s">
        <v>6</v>
      </c>
      <c r="H1128" s="13">
        <v>-2200</v>
      </c>
      <c r="I1128" s="14">
        <f t="shared" si="38"/>
        <v>-0.10420299999999996</v>
      </c>
      <c r="J1128" s="13">
        <f t="shared" si="39"/>
        <v>311456.98000000004</v>
      </c>
    </row>
    <row r="1129" spans="1:10" x14ac:dyDescent="0.25">
      <c r="A1129" s="10">
        <v>43015.645833333336</v>
      </c>
      <c r="B1129" s="11" t="s">
        <v>8</v>
      </c>
      <c r="C1129" s="11" t="s">
        <v>10</v>
      </c>
      <c r="D1129" s="16" t="str">
        <f>HYPERLINK("https://freddywills.com/pick/6639/teaser-of-the-week-over-58-winners-on-teasers-in-my-career-3-30pm-slate.html", "Navy -1.5 / Western Michigan 0.5 4.4% Teaser")</f>
        <v>Navy -1.5 / Western Michigan 0.5 4.4% Teaser</v>
      </c>
      <c r="E1129" s="11">
        <v>4.4000000000000004</v>
      </c>
      <c r="F1129" s="11">
        <v>-1.1000000000000001</v>
      </c>
      <c r="G1129" s="11" t="s">
        <v>4</v>
      </c>
      <c r="H1129" s="13">
        <v>4000</v>
      </c>
      <c r="I1129" s="14">
        <f t="shared" si="38"/>
        <v>-8.2202999999999971E-2</v>
      </c>
      <c r="J1129" s="13">
        <f t="shared" si="39"/>
        <v>313656.98000000004</v>
      </c>
    </row>
    <row r="1130" spans="1:10" x14ac:dyDescent="0.25">
      <c r="A1130" s="10">
        <v>43015.625694444447</v>
      </c>
      <c r="B1130" s="11" t="s">
        <v>8</v>
      </c>
      <c r="C1130" s="11" t="s">
        <v>18</v>
      </c>
      <c r="D1130" s="16" t="str">
        <f>HYPERLINK("https://freddywills.com/pick/6641/dog-of-the-week-200-or-more-dog-this-week-only-10.html", "Texas State +220 2% Dog of the Week")</f>
        <v>Texas State +220 2% Dog of the Week</v>
      </c>
      <c r="E1130" s="11">
        <v>2</v>
      </c>
      <c r="F1130" s="11">
        <v>2.2000000000000002</v>
      </c>
      <c r="G1130" s="11" t="s">
        <v>6</v>
      </c>
      <c r="H1130" s="13">
        <v>-2000</v>
      </c>
      <c r="I1130" s="14">
        <f t="shared" si="38"/>
        <v>-0.12220299999999996</v>
      </c>
      <c r="J1130" s="13">
        <f t="shared" si="39"/>
        <v>309656.98000000004</v>
      </c>
    </row>
    <row r="1131" spans="1:10" x14ac:dyDescent="0.25">
      <c r="A1131" s="10">
        <v>43015.458333333336</v>
      </c>
      <c r="B1131" s="11" t="s">
        <v>8</v>
      </c>
      <c r="C1131" s="11" t="s">
        <v>5</v>
      </c>
      <c r="D1131" s="16" t="str">
        <f>HYPERLINK("https://freddywills.com/pick/6628/saturday-s-free-pick-16-4-1-ats-l21-tulsafootball-vs-greenwavefb.html", "Tulsa +5 1.1% Free Play ")</f>
        <v xml:space="preserve">Tulsa +5 1.1% Free Play </v>
      </c>
      <c r="E1131" s="11">
        <v>1.1000000000000001</v>
      </c>
      <c r="F1131" s="11">
        <v>-1.1000000000000001</v>
      </c>
      <c r="G1131" s="11" t="s">
        <v>6</v>
      </c>
      <c r="H1131" s="13">
        <v>-1100</v>
      </c>
      <c r="I1131" s="14">
        <f t="shared" si="38"/>
        <v>-0.10220299999999996</v>
      </c>
      <c r="J1131" s="13">
        <f t="shared" si="39"/>
        <v>311656.98000000004</v>
      </c>
    </row>
    <row r="1132" spans="1:10" x14ac:dyDescent="0.25">
      <c r="A1132" s="10">
        <v>43014.927083333336</v>
      </c>
      <c r="B1132" s="11" t="s">
        <v>8</v>
      </c>
      <c r="C1132" s="11" t="s">
        <v>5</v>
      </c>
      <c r="D1132" s="16" t="str">
        <f>HYPERLINK("https://freddywills.com/pick/6636/byu-vs-boise-state-3-3-play-friday-night-32-21-ats-l53-cfb-3-plays.html", "BYU +8 3.3% PLAY ")</f>
        <v xml:space="preserve">BYU +8 3.3% PLAY </v>
      </c>
      <c r="E1132" s="11">
        <v>3.3</v>
      </c>
      <c r="F1132" s="11">
        <v>-1.1000000000000001</v>
      </c>
      <c r="G1132" s="11" t="s">
        <v>6</v>
      </c>
      <c r="H1132" s="13">
        <v>-3300</v>
      </c>
      <c r="I1132" s="14">
        <f t="shared" si="38"/>
        <v>-9.1202999999999965E-2</v>
      </c>
      <c r="J1132" s="13">
        <f t="shared" si="39"/>
        <v>312756.98000000004</v>
      </c>
    </row>
    <row r="1133" spans="1:10" x14ac:dyDescent="0.25">
      <c r="A1133" s="10">
        <v>43013.833333333336</v>
      </c>
      <c r="B1133" s="11" t="s">
        <v>8</v>
      </c>
      <c r="C1133" s="11" t="s">
        <v>5</v>
      </c>
      <c r="D1133" s="16" t="str">
        <f>HYPERLINK("https://freddywills.com/pick/6627/3-3-play-31-21-ats-l52-3-ncaaf-uoflfootball-vs-packfootball-guaranteed-or-back.html", "NC State +3.5 3.3% Play ")</f>
        <v xml:space="preserve">NC State +3.5 3.3% Play </v>
      </c>
      <c r="E1133" s="11">
        <v>3.3</v>
      </c>
      <c r="F1133" s="11">
        <v>-1.1000000000000001</v>
      </c>
      <c r="G1133" s="11" t="s">
        <v>4</v>
      </c>
      <c r="H1133" s="13">
        <v>3000</v>
      </c>
      <c r="I1133" s="14">
        <f t="shared" si="38"/>
        <v>-5.8202999999999963E-2</v>
      </c>
      <c r="J1133" s="13">
        <f t="shared" si="39"/>
        <v>316056.98000000004</v>
      </c>
    </row>
    <row r="1134" spans="1:10" x14ac:dyDescent="0.25">
      <c r="A1134" s="10">
        <v>43009.684027777781</v>
      </c>
      <c r="B1134" s="11" t="s">
        <v>2</v>
      </c>
      <c r="C1134" s="11" t="s">
        <v>18</v>
      </c>
      <c r="D1134" s="16" t="str">
        <f>HYPERLINK("https://freddywills.com/pick/6625/3-nfl-dog-of-the-week-7-3-ats-last-10-nfl-picks-in-october-guaranteed-or-back.html", "Raiders +155 3% Play ")</f>
        <v xml:space="preserve">Raiders +155 3% Play </v>
      </c>
      <c r="E1134" s="11">
        <v>3</v>
      </c>
      <c r="F1134" s="11">
        <v>1.55</v>
      </c>
      <c r="G1134" s="11" t="s">
        <v>6</v>
      </c>
      <c r="H1134" s="13">
        <v>-3000</v>
      </c>
      <c r="I1134" s="14">
        <f t="shared" si="38"/>
        <v>-8.8202999999999962E-2</v>
      </c>
      <c r="J1134" s="13">
        <f t="shared" si="39"/>
        <v>313056.98000000004</v>
      </c>
    </row>
    <row r="1135" spans="1:10" x14ac:dyDescent="0.25">
      <c r="A1135" s="10">
        <v>43009.670138888891</v>
      </c>
      <c r="B1135" s="11" t="s">
        <v>2</v>
      </c>
      <c r="C1135" s="11" t="s">
        <v>5</v>
      </c>
      <c r="D1135" s="16" t="str">
        <f>HYPERLINK("https://freddywills.com/pick/6622/max-rated-nfl-pod-18-7-ats-last-25.html", "Chargers -1.5 5.5% NFL POD")</f>
        <v>Chargers -1.5 5.5% NFL POD</v>
      </c>
      <c r="E1135" s="11">
        <v>5.5</v>
      </c>
      <c r="F1135" s="11">
        <v>-1.1000000000000001</v>
      </c>
      <c r="G1135" s="11" t="s">
        <v>6</v>
      </c>
      <c r="H1135" s="13">
        <v>-5500</v>
      </c>
      <c r="I1135" s="14">
        <f t="shared" si="38"/>
        <v>-5.8202999999999963E-2</v>
      </c>
      <c r="J1135" s="13">
        <f t="shared" si="39"/>
        <v>316056.98000000004</v>
      </c>
    </row>
    <row r="1136" spans="1:10" x14ac:dyDescent="0.25">
      <c r="A1136" s="10">
        <v>43009.541666666664</v>
      </c>
      <c r="B1136" s="11" t="s">
        <v>2</v>
      </c>
      <c r="C1136" s="11" t="s">
        <v>5</v>
      </c>
      <c r="D1136" s="16" t="str">
        <f>HYPERLINK("https://freddywills.com/pick/6624/nfl-early-bird-special-4-1-ats-last-week-61-48-last-109-sports-picks.html", "Bengals -3 -115 3% play ")</f>
        <v xml:space="preserve">Bengals -3 -115 3% play </v>
      </c>
      <c r="E1136" s="11">
        <v>3</v>
      </c>
      <c r="F1136" s="11">
        <v>-1.1499999999999999</v>
      </c>
      <c r="G1136" s="11" t="s">
        <v>4</v>
      </c>
      <c r="H1136" s="13">
        <v>2608.6999999999998</v>
      </c>
      <c r="I1136" s="14">
        <f t="shared" si="38"/>
        <v>-3.2029999999999594E-3</v>
      </c>
      <c r="J1136" s="13">
        <f t="shared" si="39"/>
        <v>321556.98000000004</v>
      </c>
    </row>
    <row r="1137" spans="1:10" x14ac:dyDescent="0.25">
      <c r="A1137" s="10">
        <v>43008.791666666664</v>
      </c>
      <c r="B1137" s="11" t="s">
        <v>8</v>
      </c>
      <c r="C1137" s="11" t="s">
        <v>7</v>
      </c>
      <c r="D1137" s="16" t="str">
        <f>HYPERLINK("https://freddywills.com/pick/6623/total-of-the-week-airforce-vs-newmexico-55-career-on-cfb-totals.html", "Air Force / New Mexico Over 50 2.2% play ")</f>
        <v xml:space="preserve">Air Force / New Mexico Over 50 2.2% play </v>
      </c>
      <c r="E1137" s="11">
        <v>2.2000000000000002</v>
      </c>
      <c r="F1137" s="11">
        <v>-1.1000000000000001</v>
      </c>
      <c r="G1137" s="11" t="s">
        <v>4</v>
      </c>
      <c r="H1137" s="13">
        <v>2000</v>
      </c>
      <c r="I1137" s="14">
        <f t="shared" si="38"/>
        <v>-2.9289999999999958E-2</v>
      </c>
      <c r="J1137" s="13">
        <f t="shared" si="39"/>
        <v>318948.28000000003</v>
      </c>
    </row>
    <row r="1138" spans="1:10" x14ac:dyDescent="0.25">
      <c r="A1138" s="10">
        <v>43008.645833333336</v>
      </c>
      <c r="B1138" s="11" t="s">
        <v>8</v>
      </c>
      <c r="C1138" s="11" t="s">
        <v>5</v>
      </c>
      <c r="D1138" s="16" t="str">
        <f>HYPERLINK("https://freddywills.com/pick/6615/premiumnewsletter-play-florida-state-vs-wake-forest-64-since-2012-during-week-5.html", "Florida State -7.5 +100 3.5% play ")</f>
        <v xml:space="preserve">Florida State -7.5 +100 3.5% play </v>
      </c>
      <c r="E1138" s="11">
        <v>3.5</v>
      </c>
      <c r="F1138" s="11">
        <v>1</v>
      </c>
      <c r="G1138" s="11" t="s">
        <v>6</v>
      </c>
      <c r="H1138" s="13">
        <v>-3500</v>
      </c>
      <c r="I1138" s="14">
        <f t="shared" si="38"/>
        <v>-4.9289999999999959E-2</v>
      </c>
      <c r="J1138" s="13">
        <f t="shared" si="39"/>
        <v>316948.28000000003</v>
      </c>
    </row>
    <row r="1139" spans="1:10" x14ac:dyDescent="0.25">
      <c r="A1139" s="10">
        <v>43008.645833333336</v>
      </c>
      <c r="B1139" s="11" t="s">
        <v>8</v>
      </c>
      <c r="C1139" s="11" t="s">
        <v>5</v>
      </c>
      <c r="D1139" s="16" t="str">
        <f>HYPERLINK("https://freddywills.com/pick/6620/64-ats-since-2012-during-week-5-58-8-ats-backing-this-team.html", "Tulsa +7.5 2.2% Play ")</f>
        <v xml:space="preserve">Tulsa +7.5 2.2% Play </v>
      </c>
      <c r="E1139" s="11">
        <v>2.2000000000000002</v>
      </c>
      <c r="F1139" s="11">
        <v>-1.1000000000000001</v>
      </c>
      <c r="G1139" s="11" t="s">
        <v>6</v>
      </c>
      <c r="H1139" s="13">
        <v>-2200</v>
      </c>
      <c r="I1139" s="14">
        <f t="shared" si="38"/>
        <v>-1.4289999999999959E-2</v>
      </c>
      <c r="J1139" s="13">
        <f t="shared" si="39"/>
        <v>320448.28000000003</v>
      </c>
    </row>
    <row r="1140" spans="1:10" x14ac:dyDescent="0.25">
      <c r="A1140" s="10">
        <v>43008.5</v>
      </c>
      <c r="B1140" s="11" t="s">
        <v>8</v>
      </c>
      <c r="C1140" s="11" t="s">
        <v>5</v>
      </c>
      <c r="D1140" s="16" t="str">
        <f>HYPERLINK("https://freddywills.com/pick/6616/16-3-1-ats-last-20-free-college-football-plays.html", "Vanderbilt +9 1.1% Free Play ")</f>
        <v xml:space="preserve">Vanderbilt +9 1.1% Free Play </v>
      </c>
      <c r="E1140" s="11">
        <v>1.1000000000000001</v>
      </c>
      <c r="F1140" s="11">
        <v>-1.1000000000000001</v>
      </c>
      <c r="G1140" s="11" t="s">
        <v>6</v>
      </c>
      <c r="H1140" s="13">
        <v>-1100</v>
      </c>
      <c r="I1140" s="14">
        <f t="shared" ref="I1140:I1195" si="40">(H1140/100000)+I1141</f>
        <v>7.7100000000000397E-3</v>
      </c>
      <c r="J1140" s="13">
        <f t="shared" ref="J1140:J1197" si="41">H1140+J1141</f>
        <v>322648.28000000003</v>
      </c>
    </row>
    <row r="1141" spans="1:10" x14ac:dyDescent="0.25">
      <c r="A1141" s="10">
        <v>43008.5</v>
      </c>
      <c r="B1141" s="11" t="s">
        <v>8</v>
      </c>
      <c r="C1141" s="11" t="s">
        <v>10</v>
      </c>
      <c r="D1141" s="16" t="str">
        <f>HYPERLINK("https://freddywills.com/pick/6617/teaser-of-the-week-acc-action-guaranteed-or-back-4-4-out-of-5-5.html", "BC -1 / Clemson -1.5 4.4% Teaser")</f>
        <v>BC -1 / Clemson -1.5 4.4% Teaser</v>
      </c>
      <c r="E1141" s="11">
        <v>4.4000000000000004</v>
      </c>
      <c r="F1141" s="11">
        <v>-1.1000000000000001</v>
      </c>
      <c r="G1141" s="11" t="s">
        <v>4</v>
      </c>
      <c r="H1141" s="13">
        <v>4000</v>
      </c>
      <c r="I1141" s="14">
        <f t="shared" si="40"/>
        <v>1.8710000000000039E-2</v>
      </c>
      <c r="J1141" s="13">
        <f t="shared" si="41"/>
        <v>323748.28000000003</v>
      </c>
    </row>
    <row r="1142" spans="1:10" x14ac:dyDescent="0.25">
      <c r="A1142" s="10">
        <v>43008.5</v>
      </c>
      <c r="B1142" s="11" t="s">
        <v>8</v>
      </c>
      <c r="C1142" s="11" t="s">
        <v>5</v>
      </c>
      <c r="D1142" s="16" t="str">
        <f>HYPERLINK("https://freddywills.com/pick/6618/big-ten-game-of-the-week-64-ats-career-during-week-5-since-2012.html", "Northwestern +15 3.3% Play ")</f>
        <v xml:space="preserve">Northwestern +15 3.3% Play </v>
      </c>
      <c r="E1142" s="11">
        <v>3.3</v>
      </c>
      <c r="F1142" s="11">
        <v>-1.1000000000000001</v>
      </c>
      <c r="G1142" s="11" t="s">
        <v>4</v>
      </c>
      <c r="H1142" s="13">
        <v>3000</v>
      </c>
      <c r="I1142" s="14">
        <f t="shared" si="40"/>
        <v>-2.1289999999999962E-2</v>
      </c>
      <c r="J1142" s="13">
        <f t="shared" si="41"/>
        <v>319748.28000000003</v>
      </c>
    </row>
    <row r="1143" spans="1:10" x14ac:dyDescent="0.25">
      <c r="A1143" s="10">
        <v>43008.5</v>
      </c>
      <c r="B1143" s="11" t="s">
        <v>8</v>
      </c>
      <c r="C1143" s="11" t="s">
        <v>5</v>
      </c>
      <c r="D1143" s="16" t="str">
        <f>HYPERLINK("https://freddywills.com/pick/6619/temple-vs-houston-early-bird-special-just-5-64-2-career-ats-backing-this-team-since-2009.html", "Temple +14 2.2% Play")</f>
        <v>Temple +14 2.2% Play</v>
      </c>
      <c r="E1143" s="11">
        <v>2.2000000000000002</v>
      </c>
      <c r="F1143" s="11">
        <v>-1.1000000000000001</v>
      </c>
      <c r="G1143" s="11" t="s">
        <v>4</v>
      </c>
      <c r="H1143" s="13">
        <v>2000</v>
      </c>
      <c r="I1143" s="14">
        <f t="shared" si="40"/>
        <v>-5.1289999999999961E-2</v>
      </c>
      <c r="J1143" s="13">
        <f t="shared" si="41"/>
        <v>316748.28000000003</v>
      </c>
    </row>
    <row r="1144" spans="1:10" x14ac:dyDescent="0.25">
      <c r="A1144" s="10">
        <v>43008.37777777778</v>
      </c>
      <c r="B1144" s="11" t="s">
        <v>8</v>
      </c>
      <c r="C1144" s="11" t="s">
        <v>5</v>
      </c>
      <c r="D1144" s="16" t="str">
        <f>HYPERLINK("https://freddywills.com/pick/6626/test.html", "Nill +10.5 5.5% ")</f>
        <v xml:space="preserve">Nill +10.5 5.5% </v>
      </c>
      <c r="E1144" s="11">
        <v>5.5</v>
      </c>
      <c r="F1144" s="11">
        <v>-1.1000000000000001</v>
      </c>
      <c r="G1144" s="11" t="s">
        <v>4</v>
      </c>
      <c r="H1144" s="13">
        <v>5000</v>
      </c>
      <c r="I1144" s="14">
        <f t="shared" si="40"/>
        <v>-7.1289999999999965E-2</v>
      </c>
      <c r="J1144" s="13">
        <f t="shared" si="41"/>
        <v>314748.28000000003</v>
      </c>
    </row>
    <row r="1145" spans="1:10" x14ac:dyDescent="0.25">
      <c r="A1145" s="10">
        <v>43007.9375</v>
      </c>
      <c r="B1145" s="11" t="s">
        <v>8</v>
      </c>
      <c r="C1145" s="11" t="s">
        <v>5</v>
      </c>
      <c r="D1145" s="16" t="str">
        <f>HYPERLINK("https://freddywills.com/pick/6613/usc-vs-washingtonstate-4-4-pod-23-6-last-29-football-pod-s-guaranteed-or-back.html", "USC -3.5 4.4% POD")</f>
        <v>USC -3.5 4.4% POD</v>
      </c>
      <c r="E1145" s="11">
        <v>4.4000000000000004</v>
      </c>
      <c r="F1145" s="11">
        <v>-1.1000000000000001</v>
      </c>
      <c r="G1145" s="11" t="s">
        <v>6</v>
      </c>
      <c r="H1145" s="13">
        <v>-4400</v>
      </c>
      <c r="I1145" s="14">
        <f t="shared" si="40"/>
        <v>-0.12128999999999997</v>
      </c>
      <c r="J1145" s="13">
        <f t="shared" si="41"/>
        <v>309748.28000000003</v>
      </c>
    </row>
    <row r="1146" spans="1:10" x14ac:dyDescent="0.25">
      <c r="A1146" s="10">
        <v>43007.833333333336</v>
      </c>
      <c r="B1146" s="11" t="s">
        <v>8</v>
      </c>
      <c r="C1146" s="11" t="s">
        <v>18</v>
      </c>
      <c r="D1146" s="16" t="str">
        <f>HYPERLINK("https://freddywills.com/pick/6621/friday-night-lights-byu-vs-utah-state-guaranteed-or-back.html", "BYU +102 3% PLAY ")</f>
        <v xml:space="preserve">BYU +102 3% PLAY </v>
      </c>
      <c r="E1146" s="11">
        <v>3</v>
      </c>
      <c r="F1146" s="11">
        <v>1.02</v>
      </c>
      <c r="G1146" s="11" t="s">
        <v>6</v>
      </c>
      <c r="H1146" s="13">
        <v>-3000</v>
      </c>
      <c r="I1146" s="14">
        <f t="shared" si="40"/>
        <v>-7.728999999999997E-2</v>
      </c>
      <c r="J1146" s="13">
        <f t="shared" si="41"/>
        <v>314148.28000000003</v>
      </c>
    </row>
    <row r="1147" spans="1:10" x14ac:dyDescent="0.25">
      <c r="A1147" s="10">
        <v>43006.833333333336</v>
      </c>
      <c r="B1147" s="11" t="s">
        <v>8</v>
      </c>
      <c r="C1147" s="11" t="s">
        <v>5</v>
      </c>
      <c r="D1147" s="16" t="str">
        <f>HYPERLINK("https://freddywills.com/pick/6614/texas-vs-iowa-state-3-3-play-69-ats-career-backing-my-pick-here.html", "Iowa State +6 3.3% Play ")</f>
        <v xml:space="preserve">Iowa State +6 3.3% Play </v>
      </c>
      <c r="E1147" s="11">
        <v>3.3</v>
      </c>
      <c r="F1147" s="11">
        <v>-1.05</v>
      </c>
      <c r="G1147" s="11" t="s">
        <v>6</v>
      </c>
      <c r="H1147" s="13">
        <v>-3300</v>
      </c>
      <c r="I1147" s="14">
        <f t="shared" si="40"/>
        <v>-4.7289999999999964E-2</v>
      </c>
      <c r="J1147" s="13">
        <f t="shared" si="41"/>
        <v>317148.28000000003</v>
      </c>
    </row>
    <row r="1148" spans="1:10" x14ac:dyDescent="0.25">
      <c r="A1148" s="10">
        <v>43002.684027777781</v>
      </c>
      <c r="B1148" s="11" t="s">
        <v>2</v>
      </c>
      <c r="C1148" s="11" t="s">
        <v>5</v>
      </c>
      <c r="D1148" s="16" t="str">
        <f>HYPERLINK("https://freddywills.com/pick/6612/divisional-showdown-chargers-vs-chiefs-guaranteed-or-back.html", "Chargers +3.5 2.2% play ")</f>
        <v xml:space="preserve">Chargers +3.5 2.2% play </v>
      </c>
      <c r="E1148" s="11">
        <v>2.2000000000000002</v>
      </c>
      <c r="F1148" s="11">
        <v>-1.1000000000000001</v>
      </c>
      <c r="G1148" s="11" t="s">
        <v>6</v>
      </c>
      <c r="H1148" s="13">
        <v>-2200</v>
      </c>
      <c r="I1148" s="14">
        <f t="shared" si="40"/>
        <v>-1.4289999999999962E-2</v>
      </c>
      <c r="J1148" s="13">
        <f t="shared" si="41"/>
        <v>320448.28000000003</v>
      </c>
    </row>
    <row r="1149" spans="1:10" x14ac:dyDescent="0.25">
      <c r="A1149" s="10">
        <v>43002.541666666664</v>
      </c>
      <c r="B1149" s="11" t="s">
        <v>2</v>
      </c>
      <c r="C1149" s="11" t="s">
        <v>18</v>
      </c>
      <c r="D1149" s="16" t="str">
        <f>HYPERLINK("https://freddywills.com/pick/6608/rare-max-nfl-pod-17-7-ats-last-24-guaranteed-or-back.html", "BILLS +3.5 5.5% POD")</f>
        <v>BILLS +3.5 5.5% POD</v>
      </c>
      <c r="E1149" s="11">
        <v>5.5</v>
      </c>
      <c r="F1149" s="11">
        <v>-1.1000000000000001</v>
      </c>
      <c r="G1149" s="11" t="s">
        <v>4</v>
      </c>
      <c r="H1149" s="13">
        <v>5000</v>
      </c>
      <c r="I1149" s="14">
        <f t="shared" si="40"/>
        <v>7.7100000000000363E-3</v>
      </c>
      <c r="J1149" s="13">
        <f t="shared" si="41"/>
        <v>322648.28000000003</v>
      </c>
    </row>
    <row r="1150" spans="1:10" x14ac:dyDescent="0.25">
      <c r="A1150" s="10">
        <v>43002.541666666664</v>
      </c>
      <c r="B1150" s="11" t="s">
        <v>2</v>
      </c>
      <c r="C1150" s="11" t="s">
        <v>5</v>
      </c>
      <c r="D1150" s="16" t="str">
        <f>HYPERLINK("https://freddywills.com/pick/6610/bears-vs-steelers-guaranteed-or-back-94-69-career-on-nfl-picks-in-september.html", "Bears +7.5 3.3% play ")</f>
        <v xml:space="preserve">Bears +7.5 3.3% play </v>
      </c>
      <c r="E1150" s="11">
        <v>3.3</v>
      </c>
      <c r="F1150" s="11">
        <v>-1.1000000000000001</v>
      </c>
      <c r="G1150" s="11" t="s">
        <v>4</v>
      </c>
      <c r="H1150" s="13">
        <v>3000</v>
      </c>
      <c r="I1150" s="14">
        <f t="shared" si="40"/>
        <v>-4.2289999999999967E-2</v>
      </c>
      <c r="J1150" s="13">
        <f t="shared" si="41"/>
        <v>317648.28000000003</v>
      </c>
    </row>
    <row r="1151" spans="1:10" x14ac:dyDescent="0.25">
      <c r="A1151" s="10">
        <v>43002.541666666664</v>
      </c>
      <c r="B1151" s="11" t="s">
        <v>2</v>
      </c>
      <c r="C1151" s="11" t="s">
        <v>18</v>
      </c>
      <c r="D1151" s="16" t="str">
        <f>HYPERLINK("https://freddywills.com/pick/6611/sunday-s-nfl-dog-of-the-week-guaranteed-or-back.html", "SAINTS +210 2% DOG OF THE WEEK")</f>
        <v>SAINTS +210 2% DOG OF THE WEEK</v>
      </c>
      <c r="E1151" s="11">
        <v>2</v>
      </c>
      <c r="F1151" s="11">
        <v>2.1</v>
      </c>
      <c r="G1151" s="11" t="s">
        <v>4</v>
      </c>
      <c r="H1151" s="13">
        <v>4200</v>
      </c>
      <c r="I1151" s="14">
        <f t="shared" si="40"/>
        <v>-7.2289999999999965E-2</v>
      </c>
      <c r="J1151" s="13">
        <f t="shared" si="41"/>
        <v>314648.28000000003</v>
      </c>
    </row>
    <row r="1152" spans="1:10" x14ac:dyDescent="0.25">
      <c r="A1152" s="10">
        <v>43002.395833333336</v>
      </c>
      <c r="B1152" s="11" t="s">
        <v>2</v>
      </c>
      <c r="C1152" s="11" t="s">
        <v>5</v>
      </c>
      <c r="D1152" s="16" t="str">
        <f>HYPERLINK("https://freddywills.com/pick/6609/nfl-early-bird-special-jaguars-vs-ravens-england-94-69-ats-career-nfl-in-september.html", "JAGUARS +3.5 3.3% PLAY ")</f>
        <v xml:space="preserve">JAGUARS +3.5 3.3% PLAY </v>
      </c>
      <c r="E1152" s="11">
        <v>3.3</v>
      </c>
      <c r="F1152" s="11">
        <v>-1.1000000000000001</v>
      </c>
      <c r="G1152" s="11" t="s">
        <v>4</v>
      </c>
      <c r="H1152" s="13">
        <v>3000</v>
      </c>
      <c r="I1152" s="14">
        <f t="shared" si="40"/>
        <v>-0.11428999999999997</v>
      </c>
      <c r="J1152" s="13">
        <f t="shared" si="41"/>
        <v>310448.28000000003</v>
      </c>
    </row>
    <row r="1153" spans="1:10" x14ac:dyDescent="0.25">
      <c r="A1153" s="10">
        <v>43001.791666666664</v>
      </c>
      <c r="B1153" s="11" t="s">
        <v>8</v>
      </c>
      <c r="C1153" s="11" t="s">
        <v>5</v>
      </c>
      <c r="D1153" s="16" t="str">
        <f>HYPERLINK("https://freddywills.com/pick/6601/15-3-1-ats-since-2016-on-free-cfb-picks-georgia-vs-miss-state.html", "Georgia -4.5 1.1% Free Play ")</f>
        <v xml:space="preserve">Georgia -4.5 1.1% Free Play </v>
      </c>
      <c r="E1153" s="11">
        <v>1.1000000000000001</v>
      </c>
      <c r="F1153" s="11">
        <v>-1.1000000000000001</v>
      </c>
      <c r="G1153" s="11" t="s">
        <v>4</v>
      </c>
      <c r="H1153" s="13">
        <v>1000</v>
      </c>
      <c r="I1153" s="14">
        <f t="shared" si="40"/>
        <v>-0.14428999999999997</v>
      </c>
      <c r="J1153" s="13">
        <f t="shared" si="41"/>
        <v>307448.28000000003</v>
      </c>
    </row>
    <row r="1154" spans="1:10" x14ac:dyDescent="0.25">
      <c r="A1154" s="10">
        <v>43001.791666666664</v>
      </c>
      <c r="B1154" s="11" t="s">
        <v>8</v>
      </c>
      <c r="C1154" s="11" t="s">
        <v>5</v>
      </c>
      <c r="D1154" s="16" t="str">
        <f>HYPERLINK("https://freddywills.com/pick/6602/4-4-play-ball-state-vs-western-kentucky-guaranteed-or-back.html", "Ball State +7.5 4.4% play ")</f>
        <v xml:space="preserve">Ball State +7.5 4.4% play </v>
      </c>
      <c r="E1154" s="11">
        <v>4.4000000000000004</v>
      </c>
      <c r="F1154" s="11">
        <v>-1.1000000000000001</v>
      </c>
      <c r="G1154" s="11" t="s">
        <v>6</v>
      </c>
      <c r="H1154" s="13">
        <v>-4400</v>
      </c>
      <c r="I1154" s="14">
        <f t="shared" si="40"/>
        <v>-0.15428999999999998</v>
      </c>
      <c r="J1154" s="13">
        <f t="shared" si="41"/>
        <v>306448.28000000003</v>
      </c>
    </row>
    <row r="1155" spans="1:10" x14ac:dyDescent="0.25">
      <c r="A1155" s="10">
        <v>43001.791666666664</v>
      </c>
      <c r="B1155" s="11" t="s">
        <v>8</v>
      </c>
      <c r="C1155" s="11" t="s">
        <v>18</v>
      </c>
      <c r="D1155" s="16" t="str">
        <f>HYPERLINK("https://freddywills.com/pick/6603/dog-of-the-week-8-3-last-11-dow-s-including-la-tech-225-last-week.html", "FAU +150 2.5% Dog of the Week! ")</f>
        <v xml:space="preserve">FAU +150 2.5% Dog of the Week! </v>
      </c>
      <c r="E1155" s="11">
        <v>2.5</v>
      </c>
      <c r="F1155" s="11">
        <v>1.5</v>
      </c>
      <c r="G1155" s="11" t="s">
        <v>6</v>
      </c>
      <c r="H1155" s="13">
        <v>-2500</v>
      </c>
      <c r="I1155" s="14">
        <f t="shared" si="40"/>
        <v>-0.11028999999999997</v>
      </c>
      <c r="J1155" s="13">
        <f t="shared" si="41"/>
        <v>310848.28000000003</v>
      </c>
    </row>
    <row r="1156" spans="1:10" x14ac:dyDescent="0.25">
      <c r="A1156" s="10">
        <v>43001.75</v>
      </c>
      <c r="B1156" s="11" t="s">
        <v>8</v>
      </c>
      <c r="C1156" s="11" t="s">
        <v>5</v>
      </c>
      <c r="D1156" s="16" t="str">
        <f>HYPERLINK("https://freddywills.com/pick/6605/newsletterplay-nevada-vs-washstate-3-3-play-guaranteed-pick-or-your-back.html", "Nevada +28 3.3% Play ")</f>
        <v xml:space="preserve">Nevada +28 3.3% Play </v>
      </c>
      <c r="E1156" s="11">
        <v>3.3</v>
      </c>
      <c r="F1156" s="11">
        <v>-1.1000000000000001</v>
      </c>
      <c r="G1156" s="11" t="s">
        <v>6</v>
      </c>
      <c r="H1156" s="13">
        <v>-3300</v>
      </c>
      <c r="I1156" s="14">
        <f t="shared" si="40"/>
        <v>-8.5289999999999977E-2</v>
      </c>
      <c r="J1156" s="13">
        <f t="shared" si="41"/>
        <v>313348.28000000003</v>
      </c>
    </row>
    <row r="1157" spans="1:10" x14ac:dyDescent="0.25">
      <c r="A1157" s="10">
        <v>43001.645833333336</v>
      </c>
      <c r="B1157" s="11" t="s">
        <v>8</v>
      </c>
      <c r="C1157" s="11" t="s">
        <v>18</v>
      </c>
      <c r="D1157" s="16" t="str">
        <f>HYPERLINK("https://freddywills.com/pick/6604/5-5-max-rated-pod-81-56-ats-career-on-max-pod-s.html", "Miami OH +100 5.5% POD")</f>
        <v>Miami OH +100 5.5% POD</v>
      </c>
      <c r="E1157" s="11">
        <v>5.5</v>
      </c>
      <c r="F1157" s="11">
        <v>1</v>
      </c>
      <c r="G1157" s="11" t="s">
        <v>4</v>
      </c>
      <c r="H1157" s="13">
        <v>5500</v>
      </c>
      <c r="I1157" s="14">
        <f t="shared" si="40"/>
        <v>-5.2289999999999968E-2</v>
      </c>
      <c r="J1157" s="13">
        <f t="shared" si="41"/>
        <v>316648.28000000003</v>
      </c>
    </row>
    <row r="1158" spans="1:10" x14ac:dyDescent="0.25">
      <c r="A1158" s="10">
        <v>43001.645833333336</v>
      </c>
      <c r="B1158" s="11" t="s">
        <v>8</v>
      </c>
      <c r="C1158" s="11" t="s">
        <v>5</v>
      </c>
      <c r="D1158" s="16" t="str">
        <f>HYPERLINK("https://freddywills.com/pick/6607/appalachian-state-vs-wake-forest-3-30pm-3-3-play.html", "App State +5.5 3.3% Play ")</f>
        <v xml:space="preserve">App State +5.5 3.3% Play </v>
      </c>
      <c r="E1158" s="11">
        <v>3.3</v>
      </c>
      <c r="F1158" s="11">
        <v>-1.1000000000000001</v>
      </c>
      <c r="G1158" s="11" t="s">
        <v>4</v>
      </c>
      <c r="H1158" s="13">
        <v>3000</v>
      </c>
      <c r="I1158" s="14">
        <f t="shared" si="40"/>
        <v>-0.10728999999999997</v>
      </c>
      <c r="J1158" s="13">
        <f t="shared" si="41"/>
        <v>311148.28000000003</v>
      </c>
    </row>
    <row r="1159" spans="1:10" x14ac:dyDescent="0.25">
      <c r="A1159" s="10">
        <v>43001.583333333336</v>
      </c>
      <c r="B1159" s="11" t="s">
        <v>8</v>
      </c>
      <c r="C1159" s="11" t="s">
        <v>5</v>
      </c>
      <c r="D1159" s="16" t="str">
        <f>HYPERLINK("https://freddywills.com/pick/6606/acc-action-play-just-5-guaranteed-or-back.html", "Old Dominion +28.5 2.2% play ")</f>
        <v xml:space="preserve">Old Dominion +28.5 2.2% play </v>
      </c>
      <c r="E1159" s="11">
        <v>2.2000000000000002</v>
      </c>
      <c r="F1159" s="11">
        <v>-1.1000000000000001</v>
      </c>
      <c r="G1159" s="11" t="s">
        <v>6</v>
      </c>
      <c r="H1159" s="13">
        <v>-2200</v>
      </c>
      <c r="I1159" s="14">
        <f t="shared" si="40"/>
        <v>-0.13728999999999997</v>
      </c>
      <c r="J1159" s="13">
        <f t="shared" si="41"/>
        <v>308148.28000000003</v>
      </c>
    </row>
    <row r="1160" spans="1:10" x14ac:dyDescent="0.25">
      <c r="A1160" s="10">
        <v>43000.9375</v>
      </c>
      <c r="B1160" s="11" t="s">
        <v>8</v>
      </c>
      <c r="C1160" s="11" t="s">
        <v>5</v>
      </c>
      <c r="D1160" s="16" t="str">
        <f>HYPERLINK("https://freddywills.com/pick/6600/5-ncaaf-pod-friday-night-lights-utah-vs-arizona.html", "Utah -3 -130 buy 1/2 5% POD")</f>
        <v>Utah -3 -130 buy 1/2 5% POD</v>
      </c>
      <c r="E1160" s="11">
        <v>5</v>
      </c>
      <c r="F1160" s="11">
        <v>-1.3</v>
      </c>
      <c r="G1160" s="11" t="s">
        <v>4</v>
      </c>
      <c r="H1160" s="13">
        <v>3846</v>
      </c>
      <c r="I1160" s="14">
        <f t="shared" si="40"/>
        <v>-0.11528999999999998</v>
      </c>
      <c r="J1160" s="13">
        <f t="shared" si="41"/>
        <v>310348.28000000003</v>
      </c>
    </row>
    <row r="1161" spans="1:10" x14ac:dyDescent="0.25">
      <c r="A1161" s="10">
        <v>43000.833333333336</v>
      </c>
      <c r="B1161" s="11" t="s">
        <v>8</v>
      </c>
      <c r="C1161" s="11" t="s">
        <v>5</v>
      </c>
      <c r="D1161" s="16" t="str">
        <f>HYPERLINK("https://freddywills.com/pick/6599/friday-night-lights-virginia-vs-boise-state-3-3-play.html", "Virginia +13 3.3% play ")</f>
        <v xml:space="preserve">Virginia +13 3.3% play </v>
      </c>
      <c r="E1161" s="11">
        <v>3.3</v>
      </c>
      <c r="F1161" s="11">
        <v>-1.1000000000000001</v>
      </c>
      <c r="G1161" s="11" t="s">
        <v>4</v>
      </c>
      <c r="H1161" s="13">
        <v>3000</v>
      </c>
      <c r="I1161" s="14">
        <f t="shared" si="40"/>
        <v>-0.15374999999999997</v>
      </c>
      <c r="J1161" s="13">
        <f t="shared" si="41"/>
        <v>306502.28000000003</v>
      </c>
    </row>
    <row r="1162" spans="1:10" x14ac:dyDescent="0.25">
      <c r="A1162" s="10">
        <v>42999.8125</v>
      </c>
      <c r="B1162" s="11" t="s">
        <v>8</v>
      </c>
      <c r="C1162" s="11" t="s">
        <v>7</v>
      </c>
      <c r="D1162" s="16" t="str">
        <f>HYPERLINK("https://freddywills.com/pick/6598/thursday-night-s-aac-showdown-south-florida-vs-temple.html", "USF/Temple O63 2.2% play")</f>
        <v>USF/Temple O63 2.2% play</v>
      </c>
      <c r="E1162" s="11">
        <v>2.2000000000000002</v>
      </c>
      <c r="F1162" s="11">
        <v>-1.1000000000000001</v>
      </c>
      <c r="G1162" s="11" t="s">
        <v>6</v>
      </c>
      <c r="H1162" s="13">
        <v>-2200</v>
      </c>
      <c r="I1162" s="14">
        <f t="shared" si="40"/>
        <v>-0.18374999999999997</v>
      </c>
      <c r="J1162" s="13">
        <f t="shared" si="41"/>
        <v>303502.28000000003</v>
      </c>
    </row>
    <row r="1163" spans="1:10" x14ac:dyDescent="0.25">
      <c r="A1163" s="10">
        <v>42996.857638888891</v>
      </c>
      <c r="B1163" s="11" t="s">
        <v>2</v>
      </c>
      <c r="C1163" s="11" t="s">
        <v>5</v>
      </c>
      <c r="D1163" s="16" t="str">
        <f>HYPERLINK("https://freddywills.com/pick/6596/monday-night-football-edge-92-67-69-408-l159-nfl-picks-in-september.html", "NY Giants -3 3.3% play ")</f>
        <v xml:space="preserve">NY Giants -3 3.3% play </v>
      </c>
      <c r="E1163" s="11">
        <v>3.3</v>
      </c>
      <c r="F1163" s="11">
        <v>-1.1000000000000001</v>
      </c>
      <c r="G1163" s="11" t="s">
        <v>6</v>
      </c>
      <c r="H1163" s="13">
        <v>-3300</v>
      </c>
      <c r="I1163" s="14">
        <f t="shared" si="40"/>
        <v>-0.16174999999999998</v>
      </c>
      <c r="J1163" s="13">
        <f t="shared" si="41"/>
        <v>305702.28000000003</v>
      </c>
    </row>
    <row r="1164" spans="1:10" x14ac:dyDescent="0.25">
      <c r="A1164" s="10">
        <v>42995.541666666664</v>
      </c>
      <c r="B1164" s="11" t="s">
        <v>2</v>
      </c>
      <c r="C1164" s="11" t="s">
        <v>7</v>
      </c>
      <c r="D1164" s="16" t="str">
        <f>HYPERLINK("https://freddywills.com/pick/6594/rare-max-nfl-pod-16-6-ats-last-year.html", "Chiefs/Eagles U47.5 5.5% POD")</f>
        <v>Chiefs/Eagles U47.5 5.5% POD</v>
      </c>
      <c r="E1164" s="11">
        <v>5.5</v>
      </c>
      <c r="F1164" s="11">
        <v>-1.1000000000000001</v>
      </c>
      <c r="G1164" s="11" t="s">
        <v>4</v>
      </c>
      <c r="H1164" s="13">
        <v>5000</v>
      </c>
      <c r="I1164" s="14">
        <f t="shared" si="40"/>
        <v>-0.12874999999999998</v>
      </c>
      <c r="J1164" s="13">
        <f t="shared" si="41"/>
        <v>309002.28000000003</v>
      </c>
    </row>
    <row r="1165" spans="1:10" x14ac:dyDescent="0.25">
      <c r="A1165" s="10">
        <v>42995.541666666664</v>
      </c>
      <c r="B1165" s="11" t="s">
        <v>2</v>
      </c>
      <c r="C1165" s="11" t="s">
        <v>5</v>
      </c>
      <c r="D1165" s="16" t="str">
        <f>HYPERLINK("https://freddywills.com/pick/6595/bears-vs-bucs-winner-3-3-play-guaranteed-or-back.html", "Bears +7 3.3% play ")</f>
        <v xml:space="preserve">Bears +7 3.3% play </v>
      </c>
      <c r="E1165" s="11">
        <v>3.3</v>
      </c>
      <c r="F1165" s="11">
        <v>-1.1000000000000001</v>
      </c>
      <c r="G1165" s="11" t="s">
        <v>6</v>
      </c>
      <c r="H1165" s="13">
        <v>-3300</v>
      </c>
      <c r="I1165" s="14">
        <f t="shared" si="40"/>
        <v>-0.17874999999999999</v>
      </c>
      <c r="J1165" s="13">
        <f t="shared" si="41"/>
        <v>304002.28000000003</v>
      </c>
    </row>
    <row r="1166" spans="1:10" x14ac:dyDescent="0.25">
      <c r="A1166" s="10">
        <v>42995.541666666664</v>
      </c>
      <c r="B1166" s="11" t="s">
        <v>2</v>
      </c>
      <c r="C1166" s="11" t="s">
        <v>5</v>
      </c>
      <c r="D1166" s="16" t="str">
        <f>HYPERLINK("https://freddywills.com/pick/6597/92-67-69-408-l159-nfl-picks-in-september-steelers-vs-vikings.html", "Steelers -6 2.2% play ")</f>
        <v xml:space="preserve">Steelers -6 2.2% play </v>
      </c>
      <c r="E1166" s="11">
        <v>2.2000000000000002</v>
      </c>
      <c r="F1166" s="11">
        <v>-1.1000000000000001</v>
      </c>
      <c r="G1166" s="11" t="s">
        <v>4</v>
      </c>
      <c r="H1166" s="13">
        <v>2000</v>
      </c>
      <c r="I1166" s="14">
        <f t="shared" si="40"/>
        <v>-0.14574999999999999</v>
      </c>
      <c r="J1166" s="13">
        <f t="shared" si="41"/>
        <v>307302.28000000003</v>
      </c>
    </row>
    <row r="1167" spans="1:10" x14ac:dyDescent="0.25">
      <c r="A1167" s="10">
        <v>42994.833333333336</v>
      </c>
      <c r="B1167" s="11" t="s">
        <v>8</v>
      </c>
      <c r="C1167" s="11" t="s">
        <v>5</v>
      </c>
      <c r="D1167" s="16" t="str">
        <f>HYPERLINK("https://freddywills.com/pick/6584/free-college-football-pick-14-3-1-ats-since-last-year.html", "Clemson -3")</f>
        <v>Clemson -3</v>
      </c>
      <c r="E1167" s="11">
        <v>1.1000000000000001</v>
      </c>
      <c r="F1167" s="11">
        <v>-1.1000000000000001</v>
      </c>
      <c r="G1167" s="11" t="s">
        <v>4</v>
      </c>
      <c r="H1167" s="13">
        <v>1000</v>
      </c>
      <c r="I1167" s="14">
        <f t="shared" si="40"/>
        <v>-0.16574999999999998</v>
      </c>
      <c r="J1167" s="13">
        <f t="shared" si="41"/>
        <v>305302.28000000003</v>
      </c>
    </row>
    <row r="1168" spans="1:10" x14ac:dyDescent="0.25">
      <c r="A1168" s="10">
        <v>42994.8125</v>
      </c>
      <c r="B1168" s="11" t="s">
        <v>8</v>
      </c>
      <c r="C1168" s="11" t="s">
        <v>5</v>
      </c>
      <c r="D1168" s="16" t="str">
        <f>HYPERLINK("https://freddywills.com/pick/6591/sec-showdown-guaranteed-or-back-44-26-1-ats-career-during-week-2.html", "Kentucky +7 2.2% Play ")</f>
        <v xml:space="preserve">Kentucky +7 2.2% Play </v>
      </c>
      <c r="E1168" s="11">
        <v>2.2000000000000002</v>
      </c>
      <c r="F1168" s="11">
        <v>-1.1000000000000001</v>
      </c>
      <c r="G1168" s="11" t="s">
        <v>4</v>
      </c>
      <c r="H1168" s="13">
        <v>2000</v>
      </c>
      <c r="I1168" s="14">
        <f t="shared" si="40"/>
        <v>-0.17574999999999999</v>
      </c>
      <c r="J1168" s="13">
        <f t="shared" si="41"/>
        <v>304302.28000000003</v>
      </c>
    </row>
    <row r="1169" spans="1:10" x14ac:dyDescent="0.25">
      <c r="A1169" s="10">
        <v>42994.791666666664</v>
      </c>
      <c r="B1169" s="11" t="s">
        <v>8</v>
      </c>
      <c r="C1169" s="11" t="s">
        <v>10</v>
      </c>
      <c r="D1169" s="16" t="str">
        <f>HYPERLINK("https://freddywills.com/pick/6587/teaser-of-the-week-49-35-career-on-teasers-sec-pac-12-action.html", "LSU -1.5 / Stanford -2.5 4.4% teaser")</f>
        <v>LSU -1.5 / Stanford -2.5 4.4% teaser</v>
      </c>
      <c r="E1169" s="11">
        <v>4.4000000000000004</v>
      </c>
      <c r="F1169" s="11">
        <v>-1.1000000000000001</v>
      </c>
      <c r="G1169" s="11" t="s">
        <v>6</v>
      </c>
      <c r="H1169" s="13">
        <v>-4400</v>
      </c>
      <c r="I1169" s="14">
        <f t="shared" si="40"/>
        <v>-0.19574999999999998</v>
      </c>
      <c r="J1169" s="13">
        <f t="shared" si="41"/>
        <v>302302.28000000003</v>
      </c>
    </row>
    <row r="1170" spans="1:10" x14ac:dyDescent="0.25">
      <c r="A1170" s="10">
        <v>42994.791666666664</v>
      </c>
      <c r="B1170" s="11" t="s">
        <v>8</v>
      </c>
      <c r="C1170" s="11" t="s">
        <v>18</v>
      </c>
      <c r="D1170" s="16" t="str">
        <f>HYPERLINK("https://freddywills.com/pick/6588/dog-of-the-week-7-3-su-l10-dow-s-guaranteed-or-back.html", "LA Tech +225 2.5% play ")</f>
        <v xml:space="preserve">LA Tech +225 2.5% play </v>
      </c>
      <c r="E1170" s="11">
        <v>2.5</v>
      </c>
      <c r="F1170" s="11">
        <v>2.25</v>
      </c>
      <c r="G1170" s="11" t="s">
        <v>4</v>
      </c>
      <c r="H1170" s="13">
        <v>5625</v>
      </c>
      <c r="I1170" s="14">
        <f t="shared" si="40"/>
        <v>-0.15175</v>
      </c>
      <c r="J1170" s="13">
        <f t="shared" si="41"/>
        <v>306702.28000000003</v>
      </c>
    </row>
    <row r="1171" spans="1:10" x14ac:dyDescent="0.25">
      <c r="A1171" s="10">
        <v>42994.791666666664</v>
      </c>
      <c r="B1171" s="11" t="s">
        <v>8</v>
      </c>
      <c r="C1171" s="11" t="s">
        <v>5</v>
      </c>
      <c r="D1171" s="16" t="str">
        <f>HYPERLINK("https://freddywills.com/pick/6589/2-2-play-toledo-vs-tulsa-guaranteed-or-your-back.html", "Toledo -9 2.2% play ")</f>
        <v xml:space="preserve">Toledo -9 2.2% play </v>
      </c>
      <c r="E1171" s="11">
        <v>2.2000000000000002</v>
      </c>
      <c r="F1171" s="11">
        <v>-1.1000000000000001</v>
      </c>
      <c r="G1171" s="11" t="s">
        <v>6</v>
      </c>
      <c r="H1171" s="13">
        <v>-2200</v>
      </c>
      <c r="I1171" s="14">
        <f t="shared" si="40"/>
        <v>-0.20799999999999999</v>
      </c>
      <c r="J1171" s="13">
        <f t="shared" si="41"/>
        <v>301077.28000000003</v>
      </c>
    </row>
    <row r="1172" spans="1:10" x14ac:dyDescent="0.25">
      <c r="A1172" s="10">
        <v>42994.6875</v>
      </c>
      <c r="B1172" s="11" t="s">
        <v>8</v>
      </c>
      <c r="C1172" s="11" t="s">
        <v>5</v>
      </c>
      <c r="D1172" s="16" t="str">
        <f>HYPERLINK("https://freddywills.com/pick/6593/ohio-state-vs-army-2-2-guaranteed-play.html", "Ohio State -30 2.2% play ")</f>
        <v xml:space="preserve">Ohio State -30 2.2% play </v>
      </c>
      <c r="E1172" s="11">
        <v>2.2000000000000002</v>
      </c>
      <c r="F1172" s="11">
        <v>-1.1000000000000001</v>
      </c>
      <c r="G1172" s="11" t="s">
        <v>4</v>
      </c>
      <c r="H1172" s="13">
        <v>2000</v>
      </c>
      <c r="I1172" s="14">
        <f t="shared" si="40"/>
        <v>-0.186</v>
      </c>
      <c r="J1172" s="13">
        <f t="shared" si="41"/>
        <v>303277.28000000003</v>
      </c>
    </row>
    <row r="1173" spans="1:10" x14ac:dyDescent="0.25">
      <c r="A1173" s="10">
        <v>42994.645833333336</v>
      </c>
      <c r="B1173" s="11" t="s">
        <v>8</v>
      </c>
      <c r="C1173" s="11" t="s">
        <v>5</v>
      </c>
      <c r="D1173" s="16" t="str">
        <f>HYPERLINK("https://freddywills.com/pick/6592/rare-max-ncaaf-pod-81-55-ats-career.html", "BYU +16.5 5.5% POD")</f>
        <v>BYU +16.5 5.5% POD</v>
      </c>
      <c r="E1173" s="11">
        <v>5.5</v>
      </c>
      <c r="F1173" s="11">
        <v>-1.1000000000000001</v>
      </c>
      <c r="G1173" s="11" t="s">
        <v>6</v>
      </c>
      <c r="H1173" s="13">
        <v>-5500</v>
      </c>
      <c r="I1173" s="14">
        <f t="shared" si="40"/>
        <v>-0.20599999999999999</v>
      </c>
      <c r="J1173" s="13">
        <f t="shared" si="41"/>
        <v>301277.28000000003</v>
      </c>
    </row>
    <row r="1174" spans="1:10" x14ac:dyDescent="0.25">
      <c r="A1174" s="10">
        <v>42994.520833333336</v>
      </c>
      <c r="B1174" s="11" t="s">
        <v>8</v>
      </c>
      <c r="C1174" s="11" t="s">
        <v>5</v>
      </c>
      <c r="D1174" s="16" t="str">
        <f>HYPERLINK("https://freddywills.com/pick/6585/44-26-1-ats-career-during-week-3-college-football-2-2-play.html", "Baylor +14.5 2.2% Play ")</f>
        <v xml:space="preserve">Baylor +14.5 2.2% Play </v>
      </c>
      <c r="E1174" s="11">
        <v>2.2000000000000002</v>
      </c>
      <c r="F1174" s="11">
        <v>-1.1000000000000001</v>
      </c>
      <c r="G1174" s="11" t="s">
        <v>4</v>
      </c>
      <c r="H1174" s="13">
        <v>2000</v>
      </c>
      <c r="I1174" s="14">
        <f t="shared" si="40"/>
        <v>-0.151</v>
      </c>
      <c r="J1174" s="13">
        <f t="shared" si="41"/>
        <v>306777.28000000003</v>
      </c>
    </row>
    <row r="1175" spans="1:10" x14ac:dyDescent="0.25">
      <c r="A1175" s="10">
        <v>42994.5</v>
      </c>
      <c r="B1175" s="11" t="s">
        <v>8</v>
      </c>
      <c r="C1175" s="11" t="s">
        <v>7</v>
      </c>
      <c r="D1175" s="16" t="str">
        <f>HYPERLINK("https://freddywills.com/pick/6586/total-of-the-week-57-career-on-cfb-totals-guaranteed-or-back.html", "Air Force / Michigan O48.5 3.3% Play")</f>
        <v>Air Force / Michigan O48.5 3.3% Play</v>
      </c>
      <c r="E1175" s="11">
        <v>3.3</v>
      </c>
      <c r="F1175" s="11">
        <v>-1.1000000000000001</v>
      </c>
      <c r="G1175" s="11" t="s">
        <v>6</v>
      </c>
      <c r="H1175" s="13">
        <v>-3300</v>
      </c>
      <c r="I1175" s="14">
        <f t="shared" si="40"/>
        <v>-0.17099999999999999</v>
      </c>
      <c r="J1175" s="13">
        <f t="shared" si="41"/>
        <v>304777.28000000003</v>
      </c>
    </row>
    <row r="1176" spans="1:10" x14ac:dyDescent="0.25">
      <c r="A1176" s="10">
        <v>42994.5</v>
      </c>
      <c r="B1176" s="11" t="s">
        <v>8</v>
      </c>
      <c r="C1176" s="11" t="s">
        <v>5</v>
      </c>
      <c r="D1176" s="16" t="str">
        <f>HYPERLINK("https://freddywills.com/pick/6590/3-3-play-oklahoma-state-vs-pitt-44-26-1-ats-career-week-3.html", "Pittsburgh +13.5 3.3% Play ")</f>
        <v xml:space="preserve">Pittsburgh +13.5 3.3% Play </v>
      </c>
      <c r="E1176" s="11">
        <v>3.3</v>
      </c>
      <c r="F1176" s="11">
        <v>-1.1000000000000001</v>
      </c>
      <c r="G1176" s="11" t="s">
        <v>6</v>
      </c>
      <c r="H1176" s="13">
        <v>-3300</v>
      </c>
      <c r="I1176" s="14">
        <f t="shared" si="40"/>
        <v>-0.13799999999999998</v>
      </c>
      <c r="J1176" s="13">
        <f t="shared" si="41"/>
        <v>308077.28000000003</v>
      </c>
    </row>
    <row r="1177" spans="1:10" x14ac:dyDescent="0.25">
      <c r="A1177" s="10">
        <v>42989.798611111109</v>
      </c>
      <c r="B1177" s="11" t="s">
        <v>2</v>
      </c>
      <c r="C1177" s="11" t="s">
        <v>7</v>
      </c>
      <c r="D1177" s="16" t="str">
        <f>HYPERLINK("https://freddywills.com/pick/6583/monday-night-nfl-total-of-the-week.html", "Saints/Vikings Under 47.5 2.2% play ")</f>
        <v xml:space="preserve">Saints/Vikings Under 47.5 2.2% play </v>
      </c>
      <c r="E1177" s="11">
        <v>2.2000000000000002</v>
      </c>
      <c r="F1177" s="11">
        <v>-1.1000000000000001</v>
      </c>
      <c r="G1177" s="11" t="s">
        <v>6</v>
      </c>
      <c r="H1177" s="13">
        <v>-2200</v>
      </c>
      <c r="I1177" s="14">
        <f t="shared" si="40"/>
        <v>-0.10499999999999998</v>
      </c>
      <c r="J1177" s="13">
        <f t="shared" si="41"/>
        <v>311377.28000000003</v>
      </c>
    </row>
    <row r="1178" spans="1:10" x14ac:dyDescent="0.25">
      <c r="A1178" s="10">
        <v>42988.541666666664</v>
      </c>
      <c r="B1178" s="11" t="s">
        <v>2</v>
      </c>
      <c r="C1178" s="11" t="s">
        <v>5</v>
      </c>
      <c r="D1178" s="16" t="str">
        <f>HYPERLINK("https://freddywills.com/pick/6580/sunday-s-early-bird-nfl-91-64-l155-nfl-september-plays.html", "Bears +7 3.3% NFL")</f>
        <v>Bears +7 3.3% NFL</v>
      </c>
      <c r="E1178" s="11">
        <v>3.3</v>
      </c>
      <c r="F1178" s="11">
        <v>-1.1000000000000001</v>
      </c>
      <c r="G1178" s="11" t="s">
        <v>4</v>
      </c>
      <c r="H1178" s="13">
        <v>3000</v>
      </c>
      <c r="I1178" s="14">
        <f t="shared" si="40"/>
        <v>-8.299999999999999E-2</v>
      </c>
      <c r="J1178" s="13">
        <f t="shared" si="41"/>
        <v>313577.28000000003</v>
      </c>
    </row>
    <row r="1179" spans="1:10" x14ac:dyDescent="0.25">
      <c r="A1179" s="10">
        <v>42988.541666666664</v>
      </c>
      <c r="B1179" s="11" t="s">
        <v>2</v>
      </c>
      <c r="C1179" s="11" t="s">
        <v>5</v>
      </c>
      <c r="D1179" s="16" t="str">
        <f>HYPERLINK("https://freddywills.com/pick/6581/bengals-vs-ravens-guaranteed-or-back-91-64-last-155-nfl-picks.html", "Bengals -3 +100 2.2% Play ")</f>
        <v xml:space="preserve">Bengals -3 +100 2.2% Play </v>
      </c>
      <c r="E1179" s="11">
        <v>2.2000000000000002</v>
      </c>
      <c r="F1179" s="11">
        <v>-1.1000000000000001</v>
      </c>
      <c r="G1179" s="11" t="s">
        <v>6</v>
      </c>
      <c r="H1179" s="13">
        <v>-2200</v>
      </c>
      <c r="I1179" s="14">
        <f t="shared" si="40"/>
        <v>-0.11299999999999999</v>
      </c>
      <c r="J1179" s="13">
        <f t="shared" si="41"/>
        <v>310577.28000000003</v>
      </c>
    </row>
    <row r="1180" spans="1:10" x14ac:dyDescent="0.25">
      <c r="A1180" s="10">
        <v>42988.541666666664</v>
      </c>
      <c r="B1180" s="11" t="s">
        <v>2</v>
      </c>
      <c r="C1180" s="11" t="s">
        <v>5</v>
      </c>
      <c r="D1180" s="16" t="str">
        <f>HYPERLINK("https://freddywills.com/pick/6582/5-5-nfl-pod-16-6-ats-last-year-on-nfl-pod-s.html", "Jets +8 5.5% NFL POD")</f>
        <v>Jets +8 5.5% NFL POD</v>
      </c>
      <c r="E1180" s="11">
        <v>5.5</v>
      </c>
      <c r="F1180" s="11">
        <v>-1.1000000000000001</v>
      </c>
      <c r="G1180" s="11" t="s">
        <v>6</v>
      </c>
      <c r="H1180" s="13">
        <v>-5500</v>
      </c>
      <c r="I1180" s="14">
        <f t="shared" si="40"/>
        <v>-9.0999999999999984E-2</v>
      </c>
      <c r="J1180" s="13">
        <f t="shared" si="41"/>
        <v>312777.28000000003</v>
      </c>
    </row>
    <row r="1181" spans="1:10" x14ac:dyDescent="0.25">
      <c r="A1181" s="10">
        <v>42987.854166666664</v>
      </c>
      <c r="B1181" s="11" t="s">
        <v>8</v>
      </c>
      <c r="C1181" s="11" t="s">
        <v>18</v>
      </c>
      <c r="D1181" s="16" t="str">
        <f>HYPERLINK("https://freddywills.com/pick/6570/dog-of-the-week-premium-newsletter-play.html", "Stanford +200 2.5% Dog of the Week")</f>
        <v>Stanford +200 2.5% Dog of the Week</v>
      </c>
      <c r="E1181" s="11">
        <v>2.5</v>
      </c>
      <c r="F1181" s="11">
        <v>2</v>
      </c>
      <c r="G1181" s="11" t="s">
        <v>6</v>
      </c>
      <c r="H1181" s="13">
        <v>-2500</v>
      </c>
      <c r="I1181" s="14">
        <f t="shared" si="40"/>
        <v>-3.5999999999999983E-2</v>
      </c>
      <c r="J1181" s="13">
        <f t="shared" si="41"/>
        <v>318277.28000000003</v>
      </c>
    </row>
    <row r="1182" spans="1:10" x14ac:dyDescent="0.25">
      <c r="A1182" s="10">
        <v>42987.833333333336</v>
      </c>
      <c r="B1182" s="11" t="s">
        <v>8</v>
      </c>
      <c r="C1182" s="11" t="s">
        <v>5</v>
      </c>
      <c r="D1182" s="16" t="str">
        <f>HYPERLINK("https://freddywills.com/pick/6573/5-5-max-rated-pod-80-55-last-135-max-rated-ncaaf-pod-s.html", "Illinois +7.5 5.5% NCAAF POD")</f>
        <v>Illinois +7.5 5.5% NCAAF POD</v>
      </c>
      <c r="E1182" s="11">
        <v>5.5</v>
      </c>
      <c r="F1182" s="11">
        <v>-1.1000000000000001</v>
      </c>
      <c r="G1182" s="11" t="s">
        <v>4</v>
      </c>
      <c r="H1182" s="13">
        <v>5000</v>
      </c>
      <c r="I1182" s="14">
        <f t="shared" si="40"/>
        <v>-1.0999999999999982E-2</v>
      </c>
      <c r="J1182" s="13">
        <f t="shared" si="41"/>
        <v>320777.28000000003</v>
      </c>
    </row>
    <row r="1183" spans="1:10" x14ac:dyDescent="0.25">
      <c r="A1183" s="10">
        <v>42987.791666666664</v>
      </c>
      <c r="B1183" s="11" t="s">
        <v>8</v>
      </c>
      <c r="C1183" s="11" t="s">
        <v>5</v>
      </c>
      <c r="D1183" s="16" t="str">
        <f>HYPERLINK("https://freddywills.com/pick/6576/sec-game-of-the-week-64-7-ats-in-9-seasons-backing-this-sec-team.html", "Missouri -2.5 3.3% SEC GOW")</f>
        <v>Missouri -2.5 3.3% SEC GOW</v>
      </c>
      <c r="E1183" s="11">
        <v>3.3</v>
      </c>
      <c r="F1183" s="11">
        <v>-1.1000000000000001</v>
      </c>
      <c r="G1183" s="11" t="s">
        <v>6</v>
      </c>
      <c r="H1183" s="13">
        <v>-3300</v>
      </c>
      <c r="I1183" s="14">
        <f t="shared" si="40"/>
        <v>-6.0999999999999985E-2</v>
      </c>
      <c r="J1183" s="13">
        <f t="shared" si="41"/>
        <v>315777.28000000003</v>
      </c>
    </row>
    <row r="1184" spans="1:10" x14ac:dyDescent="0.25">
      <c r="A1184" s="10">
        <v>42987.791666666664</v>
      </c>
      <c r="B1184" s="11" t="s">
        <v>8</v>
      </c>
      <c r="C1184" s="11" t="s">
        <v>7</v>
      </c>
      <c r="D1184" s="16" t="str">
        <f>HYPERLINK("https://freddywills.com/pick/6579/total-of-the-week-56-25-ats-in-9-seasons-career-on-totals-guaranteed-or-back.html", "Clemson/Auburn Under 54.5 2.2% Play")</f>
        <v>Clemson/Auburn Under 54.5 2.2% Play</v>
      </c>
      <c r="E1184" s="11">
        <v>2.2000000000000002</v>
      </c>
      <c r="F1184" s="11">
        <v>-1.1000000000000001</v>
      </c>
      <c r="G1184" s="11" t="s">
        <v>4</v>
      </c>
      <c r="H1184" s="13">
        <v>2000</v>
      </c>
      <c r="I1184" s="14">
        <f t="shared" si="40"/>
        <v>-2.799999999999998E-2</v>
      </c>
      <c r="J1184" s="13">
        <f t="shared" si="41"/>
        <v>319077.28000000003</v>
      </c>
    </row>
    <row r="1185" spans="1:10" x14ac:dyDescent="0.25">
      <c r="A1185" s="10">
        <v>42987.645833333336</v>
      </c>
      <c r="B1185" s="11" t="s">
        <v>8</v>
      </c>
      <c r="C1185" s="11" t="s">
        <v>5</v>
      </c>
      <c r="D1185" s="16" t="str">
        <f>HYPERLINK("https://freddywills.com/pick/6572/saturday-s-free-college-football-play-12-3-1-ats-l16.html", "Fresno State +44 1.1% Free Play")</f>
        <v>Fresno State +44 1.1% Free Play</v>
      </c>
      <c r="E1185" s="11">
        <v>1.1000000000000001</v>
      </c>
      <c r="F1185" s="11">
        <v>-1.1000000000000001</v>
      </c>
      <c r="G1185" s="11" t="s">
        <v>4</v>
      </c>
      <c r="H1185" s="13">
        <v>1000</v>
      </c>
      <c r="I1185" s="14">
        <f t="shared" si="40"/>
        <v>-4.799999999999998E-2</v>
      </c>
      <c r="J1185" s="13">
        <f t="shared" si="41"/>
        <v>317077.28000000003</v>
      </c>
    </row>
    <row r="1186" spans="1:10" x14ac:dyDescent="0.25">
      <c r="A1186" s="10">
        <v>42987.645833333336</v>
      </c>
      <c r="B1186" s="11" t="s">
        <v>8</v>
      </c>
      <c r="C1186" s="11" t="s">
        <v>10</v>
      </c>
      <c r="D1186" s="16" t="str">
        <f>HYPERLINK("https://freddywills.com/pick/6575/60-ats-career-on-ncaaf-teasers-25-13-l4-seasons.html", "Georgia +11.5 / Rutgers +1.5 4.4% Teaser")</f>
        <v>Georgia +11.5 / Rutgers +1.5 4.4% Teaser</v>
      </c>
      <c r="E1186" s="11">
        <v>4.4000000000000004</v>
      </c>
      <c r="F1186" s="11">
        <v>-1.1000000000000001</v>
      </c>
      <c r="G1186" s="11" t="s">
        <v>6</v>
      </c>
      <c r="H1186" s="13">
        <v>-4400</v>
      </c>
      <c r="I1186" s="14">
        <f t="shared" si="40"/>
        <v>-5.7999999999999982E-2</v>
      </c>
      <c r="J1186" s="13">
        <f t="shared" si="41"/>
        <v>316077.28000000003</v>
      </c>
    </row>
    <row r="1187" spans="1:10" x14ac:dyDescent="0.25">
      <c r="A1187" s="10">
        <v>42987.645833333336</v>
      </c>
      <c r="B1187" s="11" t="s">
        <v>8</v>
      </c>
      <c r="C1187" s="11" t="s">
        <v>18</v>
      </c>
      <c r="D1187" s="16" t="str">
        <f>HYPERLINK("https://freddywills.com/pick/6577/30-15-ats-career-week-2-tcu-vs-arkansas-premium-play-guaranteed-or-back.html", "Arkansas +3 -105 2.2% play ")</f>
        <v xml:space="preserve">Arkansas +3 -105 2.2% play </v>
      </c>
      <c r="E1187" s="11">
        <v>2.2000000000000002</v>
      </c>
      <c r="F1187" s="11">
        <v>-1.1000000000000001</v>
      </c>
      <c r="G1187" s="11" t="s">
        <v>6</v>
      </c>
      <c r="H1187" s="13">
        <v>-2200</v>
      </c>
      <c r="I1187" s="14">
        <f t="shared" si="40"/>
        <v>-1.3999999999999981E-2</v>
      </c>
      <c r="J1187" s="13">
        <f t="shared" si="41"/>
        <v>320477.28000000003</v>
      </c>
    </row>
    <row r="1188" spans="1:10" x14ac:dyDescent="0.25">
      <c r="A1188" s="10">
        <v>42987.5</v>
      </c>
      <c r="B1188" s="11" t="s">
        <v>8</v>
      </c>
      <c r="C1188" s="11" t="s">
        <v>5</v>
      </c>
      <c r="D1188" s="16" t="str">
        <f>HYPERLINK("https://freddywills.com/pick/6578/guaranteed-or-back-30-15-ats-week-2-saturday-66-7-ats-in-9yrs-back-this-team.html", "Iowa -2.5 2.2% play")</f>
        <v>Iowa -2.5 2.2% play</v>
      </c>
      <c r="E1188" s="11">
        <v>2.2000000000000002</v>
      </c>
      <c r="F1188" s="11">
        <v>-1.1000000000000001</v>
      </c>
      <c r="G1188" s="11" t="s">
        <v>4</v>
      </c>
      <c r="H1188" s="13">
        <v>2000</v>
      </c>
      <c r="I1188" s="14">
        <f t="shared" si="40"/>
        <v>8.0000000000000175E-3</v>
      </c>
      <c r="J1188" s="13">
        <f t="shared" si="41"/>
        <v>322677.28000000003</v>
      </c>
    </row>
    <row r="1189" spans="1:10" x14ac:dyDescent="0.25">
      <c r="A1189" s="10">
        <v>42981.8125</v>
      </c>
      <c r="B1189" s="11" t="s">
        <v>8</v>
      </c>
      <c r="C1189" s="11" t="s">
        <v>5</v>
      </c>
      <c r="D1189" s="16" t="str">
        <f>HYPERLINK("https://freddywills.com/pick/6569/3-3-play-texas-a-m-vs-ucla-guaranteed-or-back-4-1-ats-saturday.html", "Texas A&amp;M +4.5 3.3% play")</f>
        <v>Texas A&amp;M +4.5 3.3% play</v>
      </c>
      <c r="E1189" s="11">
        <v>3.3</v>
      </c>
      <c r="F1189" s="11">
        <v>-1.1000000000000001</v>
      </c>
      <c r="G1189" s="11" t="s">
        <v>4</v>
      </c>
      <c r="H1189" s="13">
        <v>3000</v>
      </c>
      <c r="I1189" s="14">
        <f t="shared" si="40"/>
        <v>-1.1999999999999983E-2</v>
      </c>
      <c r="J1189" s="13">
        <f t="shared" si="41"/>
        <v>320677.28000000003</v>
      </c>
    </row>
    <row r="1190" spans="1:10" x14ac:dyDescent="0.25">
      <c r="A1190" s="10">
        <v>42980.974490740744</v>
      </c>
      <c r="B1190" s="11" t="s">
        <v>8</v>
      </c>
      <c r="C1190" s="11" t="s">
        <v>5</v>
      </c>
      <c r="D1190" s="16" t="str">
        <f>HYPERLINK("https://freddywills.com/pick/6563/saturday-s-free-pick-11-3-1-ats-last-season-on-free-ncaaf-picks.html", "Iowa -11.5 1.1% Free Play ")</f>
        <v xml:space="preserve">Iowa -11.5 1.1% Free Play </v>
      </c>
      <c r="E1190" s="11">
        <v>1.1000000000000001</v>
      </c>
      <c r="F1190" s="11">
        <v>-1.1000000000000001</v>
      </c>
      <c r="G1190" s="11" t="s">
        <v>4</v>
      </c>
      <c r="H1190" s="13">
        <v>1000</v>
      </c>
      <c r="I1190" s="14">
        <f t="shared" si="40"/>
        <v>-4.1999999999999982E-2</v>
      </c>
      <c r="J1190" s="13">
        <f t="shared" si="41"/>
        <v>317677.28000000003</v>
      </c>
    </row>
    <row r="1191" spans="1:10" x14ac:dyDescent="0.25">
      <c r="A1191" s="10">
        <v>42980.833333333336</v>
      </c>
      <c r="B1191" s="11" t="s">
        <v>8</v>
      </c>
      <c r="C1191" s="11" t="s">
        <v>10</v>
      </c>
      <c r="D1191" s="16" t="str">
        <f>HYPERLINK("https://freddywills.com/pick/6564/teaser-of-the-week-featuring-alabama-fsu-64-8-ats-l3-years.html", "MIAOH +8.5 / Bama -1 4.4% Teaser")</f>
        <v>MIAOH +8.5 / Bama -1 4.4% Teaser</v>
      </c>
      <c r="E1191" s="11">
        <v>4.4000000000000004</v>
      </c>
      <c r="F1191" s="11">
        <v>-1.1000000000000001</v>
      </c>
      <c r="G1191" s="11" t="s">
        <v>4</v>
      </c>
      <c r="H1191" s="13">
        <v>4000</v>
      </c>
      <c r="I1191" s="14">
        <f t="shared" si="40"/>
        <v>-5.1999999999999984E-2</v>
      </c>
      <c r="J1191" s="13">
        <f t="shared" si="41"/>
        <v>316677.28000000003</v>
      </c>
    </row>
    <row r="1192" spans="1:10" x14ac:dyDescent="0.25">
      <c r="A1192" s="10">
        <v>42980.791666666664</v>
      </c>
      <c r="B1192" s="11" t="s">
        <v>8</v>
      </c>
      <c r="C1192" s="11" t="s">
        <v>5</v>
      </c>
      <c r="D1192" s="16" t="str">
        <f>HYPERLINK("https://freddywills.com/pick/6566/3-3-play-louisville-purdue-saturday-guaranteed-or-back.html", "Purdue +24.5 3.3% play ")</f>
        <v xml:space="preserve">Purdue +24.5 3.3% play </v>
      </c>
      <c r="E1192" s="11">
        <v>3.3</v>
      </c>
      <c r="F1192" s="11">
        <v>-1.1000000000000001</v>
      </c>
      <c r="G1192" s="11" t="s">
        <v>4</v>
      </c>
      <c r="H1192" s="13">
        <v>3000</v>
      </c>
      <c r="I1192" s="14">
        <f t="shared" si="40"/>
        <v>-9.1999999999999985E-2</v>
      </c>
      <c r="J1192" s="13">
        <f t="shared" si="41"/>
        <v>312677.28000000003</v>
      </c>
    </row>
    <row r="1193" spans="1:10" x14ac:dyDescent="0.25">
      <c r="A1193" s="10">
        <v>42980.645833333336</v>
      </c>
      <c r="B1193" s="11" t="s">
        <v>8</v>
      </c>
      <c r="C1193" s="11" t="s">
        <v>5</v>
      </c>
      <c r="D1193" s="16" t="str">
        <f>HYPERLINK("https://freddywills.com/pick/6562/saturdays-premium-play-big-ten-action.html", "Nevada +24 2.2% play")</f>
        <v>Nevada +24 2.2% play</v>
      </c>
      <c r="E1193" s="11">
        <v>2.2000000000000002</v>
      </c>
      <c r="F1193" s="11">
        <v>-1.1000000000000001</v>
      </c>
      <c r="G1193" s="11" t="s">
        <v>4</v>
      </c>
      <c r="H1193" s="13">
        <v>2000</v>
      </c>
      <c r="I1193" s="14">
        <f t="shared" si="40"/>
        <v>-0.12199999999999998</v>
      </c>
      <c r="J1193" s="13">
        <f t="shared" si="41"/>
        <v>309677.28000000003</v>
      </c>
    </row>
    <row r="1194" spans="1:10" x14ac:dyDescent="0.25">
      <c r="A1194" s="10">
        <v>42980.145833333336</v>
      </c>
      <c r="B1194" s="11" t="s">
        <v>8</v>
      </c>
      <c r="C1194" s="11" t="s">
        <v>5</v>
      </c>
      <c r="D1194" s="16" t="str">
        <f>HYPERLINK("https://freddywills.com/pick/6565/5-5-ncaaf-pod-36-14-ats-l50-max-pod-s-60-ats-ncaaf-career.html", "Florida +5.5 5.5% POD")</f>
        <v>Florida +5.5 5.5% POD</v>
      </c>
      <c r="E1194" s="11">
        <v>5.5</v>
      </c>
      <c r="F1194" s="11">
        <v>-1.1000000000000001</v>
      </c>
      <c r="G1194" s="11" t="s">
        <v>6</v>
      </c>
      <c r="H1194" s="13">
        <v>-5500</v>
      </c>
      <c r="I1194" s="14">
        <f t="shared" si="40"/>
        <v>-0.14199999999999999</v>
      </c>
      <c r="J1194" s="13">
        <f t="shared" si="41"/>
        <v>307677.28000000003</v>
      </c>
    </row>
    <row r="1195" spans="1:10" x14ac:dyDescent="0.25">
      <c r="A1195" s="10">
        <v>42979.833333333336</v>
      </c>
      <c r="B1195" s="11" t="s">
        <v>8</v>
      </c>
      <c r="C1195" s="11" t="s">
        <v>5</v>
      </c>
      <c r="D1195" s="16" t="str">
        <f>HYPERLINK("https://freddywills.com/pick/6567/friday-night-lights-guaranteed-2-0-or-saturday-is-free.html", "FAU +10 2.2")</f>
        <v>FAU +10 2.2</v>
      </c>
      <c r="E1195" s="11">
        <v>2.2000000000000002</v>
      </c>
      <c r="F1195" s="11">
        <v>-1.1000000000000001</v>
      </c>
      <c r="G1195" s="11" t="s">
        <v>6</v>
      </c>
      <c r="H1195" s="13">
        <v>-2200</v>
      </c>
      <c r="I1195" s="14">
        <f t="shared" si="40"/>
        <v>-8.6999999999999994E-2</v>
      </c>
      <c r="J1195" s="13">
        <f t="shared" si="41"/>
        <v>313177.28000000003</v>
      </c>
    </row>
    <row r="1196" spans="1:10" x14ac:dyDescent="0.25">
      <c r="A1196" s="10">
        <v>42979.833333333336</v>
      </c>
      <c r="B1196" s="11" t="s">
        <v>8</v>
      </c>
      <c r="C1196" s="11" t="s">
        <v>5</v>
      </c>
      <c r="D1196" s="16" t="str">
        <f>HYPERLINK("https://freddywills.com/pick/6568/rutgers-vs-washington.html", "Rutgers +27.5 ")</f>
        <v xml:space="preserve">Rutgers +27.5 </v>
      </c>
      <c r="E1196" s="11">
        <v>3.3</v>
      </c>
      <c r="F1196" s="11">
        <v>-110</v>
      </c>
      <c r="G1196" s="11" t="s">
        <v>4</v>
      </c>
      <c r="H1196" s="13">
        <v>3000</v>
      </c>
      <c r="I1196" s="14">
        <f t="shared" ref="I1196:I1199" si="42">(H1196/100000)+I1197</f>
        <v>-6.5000000000000002E-2</v>
      </c>
      <c r="J1196" s="13">
        <f t="shared" si="41"/>
        <v>315377.28000000003</v>
      </c>
    </row>
    <row r="1197" spans="1:10" x14ac:dyDescent="0.25">
      <c r="A1197" s="10">
        <v>42978.96702546296</v>
      </c>
      <c r="B1197" s="11" t="s">
        <v>8</v>
      </c>
      <c r="C1197" s="11" t="s">
        <v>5</v>
      </c>
      <c r="D1197" s="16" t="str">
        <f>HYPERLINK("https://freddywills.com/pick/6561/indiana-vs-ohio-state-guaranteed-or-back.html", "Indiana +21 2.2%play")</f>
        <v>Indiana +21 2.2%play</v>
      </c>
      <c r="E1197" s="11">
        <v>2.2000000000000002</v>
      </c>
      <c r="F1197" s="11">
        <v>-1.1000000000000001</v>
      </c>
      <c r="G1197" s="11" t="s">
        <v>6</v>
      </c>
      <c r="H1197" s="13">
        <v>-2200</v>
      </c>
      <c r="I1197" s="14">
        <f t="shared" si="42"/>
        <v>-9.5000000000000001E-2</v>
      </c>
      <c r="J1197" s="13">
        <f t="shared" si="41"/>
        <v>312377.28000000003</v>
      </c>
    </row>
    <row r="1198" spans="1:10" x14ac:dyDescent="0.25">
      <c r="A1198" s="10">
        <v>42978.75</v>
      </c>
      <c r="B1198" s="11" t="s">
        <v>8</v>
      </c>
      <c r="C1198" s="11" t="s">
        <v>5</v>
      </c>
      <c r="D1198" s="16" t="str">
        <f>HYPERLINK("https://freddywills.com/pick/6555/1-overall-college-football-handicapper-30-18-l48-ncaaf-picks-fiu-vs-ucf.html", "FIU +17 3.3% PLAY ")</f>
        <v xml:space="preserve">FIU +17 3.3% PLAY </v>
      </c>
      <c r="E1198" s="11">
        <v>3.3</v>
      </c>
      <c r="F1198" s="11">
        <v>-1</v>
      </c>
      <c r="G1198" s="11" t="s">
        <v>6</v>
      </c>
      <c r="H1198" s="13">
        <v>-3300</v>
      </c>
      <c r="I1198" s="14">
        <f t="shared" si="42"/>
        <v>-7.3000000000000009E-2</v>
      </c>
      <c r="J1198" s="13">
        <f>H1198+J1199</f>
        <v>314577.28000000003</v>
      </c>
    </row>
    <row r="1199" spans="1:10" x14ac:dyDescent="0.25">
      <c r="A1199" s="10">
        <v>42973.604166666664</v>
      </c>
      <c r="B1199" s="11" t="s">
        <v>8</v>
      </c>
      <c r="C1199" s="11" t="s">
        <v>5</v>
      </c>
      <c r="D1199" s="16" t="str">
        <f>HYPERLINK("https://freddywills.com/pick/6553/4-4-ncaaf-pod-11-1-l12-ncaaf-pod-s-213-610-career-profit.html", "Oregon State +4 4.4% NCAAF POD")</f>
        <v>Oregon State +4 4.4% NCAAF POD</v>
      </c>
      <c r="E1199" s="11">
        <v>4</v>
      </c>
      <c r="F1199" s="11">
        <v>-110</v>
      </c>
      <c r="G1199" s="11" t="s">
        <v>6</v>
      </c>
      <c r="H1199" s="13">
        <v>-4000</v>
      </c>
      <c r="I1199" s="14">
        <f>H1199/100000</f>
        <v>-0.04</v>
      </c>
      <c r="J1199" s="13">
        <f>H1199+J1202</f>
        <v>317877.28000000003</v>
      </c>
    </row>
    <row r="1200" spans="1:10" x14ac:dyDescent="0.25">
      <c r="A1200" s="17" t="s">
        <v>22</v>
      </c>
      <c r="B1200" s="18"/>
      <c r="C1200" s="18"/>
      <c r="D1200" s="18"/>
      <c r="E1200" s="18"/>
      <c r="F1200" s="18"/>
      <c r="G1200" s="18"/>
      <c r="H1200" s="18"/>
      <c r="I1200" s="19">
        <v>100000</v>
      </c>
      <c r="J1200" s="17"/>
    </row>
    <row r="1201" spans="1:10" x14ac:dyDescent="0.25">
      <c r="A1201" s="8" t="s">
        <v>24</v>
      </c>
      <c r="B1201" s="9"/>
      <c r="C1201" s="9"/>
      <c r="D1201" s="9"/>
      <c r="E1201" s="9"/>
      <c r="F1201" s="9"/>
      <c r="G1201" s="9"/>
      <c r="H1201" s="9"/>
      <c r="I1201" s="9"/>
      <c r="J1201" s="9"/>
    </row>
    <row r="1202" spans="1:10" x14ac:dyDescent="0.25">
      <c r="A1202" s="10">
        <v>42771</v>
      </c>
      <c r="B1202" s="11" t="s">
        <v>2</v>
      </c>
      <c r="C1202" s="11" t="s">
        <v>5</v>
      </c>
      <c r="D1202" s="16" t="str">
        <f>HYPERLINK("https://freddywills.com/pick/1/patriots-3.html", "Patriots -3")</f>
        <v>Patriots -3</v>
      </c>
      <c r="E1202" s="11">
        <v>5.5</v>
      </c>
      <c r="F1202" s="11">
        <v>-105</v>
      </c>
      <c r="G1202" s="11" t="s">
        <v>4</v>
      </c>
      <c r="H1202" s="13">
        <v>5238</v>
      </c>
      <c r="I1202" s="14">
        <f t="shared" ref="I1202:I1265" si="43">(H1202/100000)+I1203</f>
        <v>0.54996000000000012</v>
      </c>
      <c r="J1202" s="13">
        <f t="shared" ref="J1202:J1265" si="44">H1202+J1203</f>
        <v>321877.28000000003</v>
      </c>
    </row>
    <row r="1203" spans="1:10" x14ac:dyDescent="0.25">
      <c r="A1203" s="10">
        <v>42757</v>
      </c>
      <c r="B1203" s="11" t="s">
        <v>2</v>
      </c>
      <c r="C1203" s="11" t="s">
        <v>18</v>
      </c>
      <c r="D1203" s="16" t="str">
        <f>HYPERLINK("https://freddywills.com/pick/2/packers-190-5-5-pod.html", "Packers +190 5.5% POD")</f>
        <v>Packers +190 5.5% POD</v>
      </c>
      <c r="E1203" s="11">
        <v>5.5</v>
      </c>
      <c r="F1203" s="11">
        <v>1.9</v>
      </c>
      <c r="G1203" s="11" t="s">
        <v>6</v>
      </c>
      <c r="H1203" s="13">
        <v>-5500</v>
      </c>
      <c r="I1203" s="14">
        <f t="shared" si="43"/>
        <v>0.49758000000000008</v>
      </c>
      <c r="J1203" s="13">
        <f t="shared" si="44"/>
        <v>316639.28000000003</v>
      </c>
    </row>
    <row r="1204" spans="1:10" x14ac:dyDescent="0.25">
      <c r="A1204" s="10">
        <v>42757</v>
      </c>
      <c r="B1204" s="11" t="s">
        <v>2</v>
      </c>
      <c r="C1204" s="11" t="s">
        <v>5</v>
      </c>
      <c r="D1204" s="16" t="str">
        <f>HYPERLINK("https://freddywills.com/pick/3/patriots-6-2-2-play.html", "Patriots -6 2.2% play")</f>
        <v>Patriots -6 2.2% play</v>
      </c>
      <c r="E1204" s="11">
        <v>2.2000000000000002</v>
      </c>
      <c r="F1204" s="11">
        <v>-1.1000000000000001</v>
      </c>
      <c r="G1204" s="11" t="s">
        <v>4</v>
      </c>
      <c r="H1204" s="13">
        <v>2000</v>
      </c>
      <c r="I1204" s="14">
        <f t="shared" si="43"/>
        <v>0.55258000000000007</v>
      </c>
      <c r="J1204" s="13">
        <f t="shared" si="44"/>
        <v>322139.28000000003</v>
      </c>
    </row>
    <row r="1205" spans="1:10" x14ac:dyDescent="0.25">
      <c r="A1205" s="10">
        <v>42750</v>
      </c>
      <c r="B1205" s="11" t="s">
        <v>2</v>
      </c>
      <c r="C1205" s="11" t="s">
        <v>18</v>
      </c>
      <c r="D1205" s="16" t="str">
        <f>HYPERLINK("https://freddywills.com/pick/4/packers-175-pod.html", "Packers +175 POD")</f>
        <v>Packers +175 POD</v>
      </c>
      <c r="E1205" s="11">
        <v>5.5</v>
      </c>
      <c r="F1205" s="11">
        <v>1.75</v>
      </c>
      <c r="G1205" s="11" t="s">
        <v>4</v>
      </c>
      <c r="H1205" s="13">
        <v>9625</v>
      </c>
      <c r="I1205" s="14">
        <f t="shared" si="43"/>
        <v>0.53258000000000005</v>
      </c>
      <c r="J1205" s="13">
        <f t="shared" si="44"/>
        <v>320139.28000000003</v>
      </c>
    </row>
    <row r="1206" spans="1:10" x14ac:dyDescent="0.25">
      <c r="A1206" s="10">
        <v>42750</v>
      </c>
      <c r="B1206" s="11" t="s">
        <v>2</v>
      </c>
      <c r="C1206" s="11" t="s">
        <v>5</v>
      </c>
      <c r="D1206" s="16" t="str">
        <f>HYPERLINK("https://freddywills.com/pick/5/chiefs-2.html", "Chiefs -2")</f>
        <v>Chiefs -2</v>
      </c>
      <c r="E1206" s="11">
        <v>2.2000000000000002</v>
      </c>
      <c r="F1206" s="11">
        <v>-1.1000000000000001</v>
      </c>
      <c r="G1206" s="11" t="s">
        <v>6</v>
      </c>
      <c r="H1206" s="13">
        <v>-2200</v>
      </c>
      <c r="I1206" s="14">
        <f t="shared" si="43"/>
        <v>0.43633000000000011</v>
      </c>
      <c r="J1206" s="13">
        <f t="shared" si="44"/>
        <v>310514.28000000003</v>
      </c>
    </row>
    <row r="1207" spans="1:10" x14ac:dyDescent="0.25">
      <c r="A1207" s="10">
        <v>42749</v>
      </c>
      <c r="B1207" s="11" t="s">
        <v>2</v>
      </c>
      <c r="C1207" s="11" t="s">
        <v>5</v>
      </c>
      <c r="D1207" s="16" t="str">
        <f>HYPERLINK("https://freddywills.com/pick/6/seahawks-6-5.html", "Seahawks +6.5")</f>
        <v>Seahawks +6.5</v>
      </c>
      <c r="E1207" s="11">
        <v>3.3</v>
      </c>
      <c r="F1207" s="11">
        <v>-1.1000000000000001</v>
      </c>
      <c r="G1207" s="11" t="s">
        <v>6</v>
      </c>
      <c r="H1207" s="13">
        <v>-3300</v>
      </c>
      <c r="I1207" s="14">
        <f t="shared" si="43"/>
        <v>0.45833000000000013</v>
      </c>
      <c r="J1207" s="13">
        <f t="shared" si="44"/>
        <v>312714.28000000003</v>
      </c>
    </row>
    <row r="1208" spans="1:10" x14ac:dyDescent="0.25">
      <c r="A1208" s="10">
        <v>42744</v>
      </c>
      <c r="B1208" s="11" t="s">
        <v>8</v>
      </c>
      <c r="C1208" s="11" t="s">
        <v>5</v>
      </c>
      <c r="D1208" s="16" t="str">
        <f>HYPERLINK("https://freddywills.com/pick/7/clemson-7-pod.html", "Clemson +7 POD")</f>
        <v>Clemson +7 POD</v>
      </c>
      <c r="E1208" s="11">
        <v>5.5</v>
      </c>
      <c r="F1208" s="11">
        <v>-1.1000000000000001</v>
      </c>
      <c r="G1208" s="11" t="s">
        <v>4</v>
      </c>
      <c r="H1208" s="13">
        <v>5000</v>
      </c>
      <c r="I1208" s="14">
        <f t="shared" si="43"/>
        <v>0.4913300000000001</v>
      </c>
      <c r="J1208" s="13">
        <f t="shared" si="44"/>
        <v>316014.28000000003</v>
      </c>
    </row>
    <row r="1209" spans="1:10" x14ac:dyDescent="0.25">
      <c r="A1209" s="10">
        <v>42743</v>
      </c>
      <c r="B1209" s="11" t="s">
        <v>2</v>
      </c>
      <c r="C1209" s="11" t="s">
        <v>5</v>
      </c>
      <c r="D1209" s="16" t="str">
        <f>HYPERLINK("https://freddywills.com/pick/8/packers-5-5-pod.html", "Packers -5.5 POD")</f>
        <v>Packers -5.5 POD</v>
      </c>
      <c r="E1209" s="11">
        <v>5.5</v>
      </c>
      <c r="F1209" s="11">
        <v>-1.1000000000000001</v>
      </c>
      <c r="G1209" s="11" t="s">
        <v>4</v>
      </c>
      <c r="H1209" s="13">
        <v>5000</v>
      </c>
      <c r="I1209" s="14">
        <f t="shared" si="43"/>
        <v>0.44133000000000011</v>
      </c>
      <c r="J1209" s="13">
        <f t="shared" si="44"/>
        <v>311014.28000000003</v>
      </c>
    </row>
    <row r="1210" spans="1:10" x14ac:dyDescent="0.25">
      <c r="A1210" s="10">
        <v>42743</v>
      </c>
      <c r="B1210" s="11" t="s">
        <v>2</v>
      </c>
      <c r="C1210" s="11" t="s">
        <v>5</v>
      </c>
      <c r="D1210" s="16" t="str">
        <f>HYPERLINK("https://freddywills.com/pick/9/dolphins-11-5.html", "Dolphins +11.5")</f>
        <v>Dolphins +11.5</v>
      </c>
      <c r="E1210" s="11">
        <v>2.2000000000000002</v>
      </c>
      <c r="F1210" s="11">
        <v>-1.1000000000000001</v>
      </c>
      <c r="G1210" s="11" t="s">
        <v>6</v>
      </c>
      <c r="H1210" s="13">
        <v>-2200</v>
      </c>
      <c r="I1210" s="14">
        <f t="shared" si="43"/>
        <v>0.39133000000000012</v>
      </c>
      <c r="J1210" s="13">
        <f t="shared" si="44"/>
        <v>306014.28000000003</v>
      </c>
    </row>
    <row r="1211" spans="1:10" x14ac:dyDescent="0.25">
      <c r="A1211" s="10">
        <v>42742</v>
      </c>
      <c r="B1211" s="11" t="s">
        <v>2</v>
      </c>
      <c r="C1211" s="11" t="s">
        <v>5</v>
      </c>
      <c r="D1211" s="16" t="str">
        <f>HYPERLINK("https://freddywills.com/pick/10/raiders-4.html", "Raiders +4")</f>
        <v>Raiders +4</v>
      </c>
      <c r="E1211" s="11">
        <v>5.5</v>
      </c>
      <c r="F1211" s="11">
        <v>-1.1000000000000001</v>
      </c>
      <c r="G1211" s="11" t="s">
        <v>6</v>
      </c>
      <c r="H1211" s="13">
        <v>-5500</v>
      </c>
      <c r="I1211" s="14">
        <f t="shared" si="43"/>
        <v>0.41333000000000014</v>
      </c>
      <c r="J1211" s="13">
        <f t="shared" si="44"/>
        <v>308214.28000000003</v>
      </c>
    </row>
    <row r="1212" spans="1:10" x14ac:dyDescent="0.25">
      <c r="A1212" s="10">
        <v>42737</v>
      </c>
      <c r="B1212" s="11" t="s">
        <v>8</v>
      </c>
      <c r="C1212" s="11" t="s">
        <v>5</v>
      </c>
      <c r="D1212" s="16" t="str">
        <f>HYPERLINK("https://freddywills.com/pick/11/wisconsin-8-2-2-play.html", "Wisconsin -8 2.2% play")</f>
        <v>Wisconsin -8 2.2% play</v>
      </c>
      <c r="E1212" s="11">
        <v>2.2000000000000002</v>
      </c>
      <c r="F1212" s="11">
        <v>-1.1000000000000001</v>
      </c>
      <c r="G1212" s="11" t="s">
        <v>9</v>
      </c>
      <c r="H1212" s="13">
        <v>0</v>
      </c>
      <c r="I1212" s="14">
        <f t="shared" si="43"/>
        <v>0.46833000000000014</v>
      </c>
      <c r="J1212" s="13">
        <f t="shared" si="44"/>
        <v>313714.28000000003</v>
      </c>
    </row>
    <row r="1213" spans="1:10" x14ac:dyDescent="0.25">
      <c r="A1213" s="10">
        <v>42737</v>
      </c>
      <c r="B1213" s="11" t="s">
        <v>8</v>
      </c>
      <c r="C1213" s="11" t="s">
        <v>7</v>
      </c>
      <c r="D1213" s="16" t="str">
        <f>HYPERLINK("https://freddywills.com/pick/12/iowa-florida-under-40-5-3-3.html", "Iowa/Florida Under 40.5 3.3%")</f>
        <v>Iowa/Florida Under 40.5 3.3%</v>
      </c>
      <c r="E1213" s="11">
        <v>3.3</v>
      </c>
      <c r="F1213" s="11">
        <v>-1.1000000000000001</v>
      </c>
      <c r="G1213" s="11" t="s">
        <v>4</v>
      </c>
      <c r="H1213" s="13">
        <v>3000</v>
      </c>
      <c r="I1213" s="14">
        <f t="shared" si="43"/>
        <v>0.46833000000000014</v>
      </c>
      <c r="J1213" s="13">
        <f t="shared" si="44"/>
        <v>313714.28000000003</v>
      </c>
    </row>
    <row r="1214" spans="1:10" x14ac:dyDescent="0.25">
      <c r="A1214" s="10">
        <v>42737</v>
      </c>
      <c r="B1214" s="11" t="s">
        <v>8</v>
      </c>
      <c r="C1214" s="11" t="s">
        <v>18</v>
      </c>
      <c r="D1214" s="16" t="str">
        <f>HYPERLINK("https://freddywills.com/pick/13/auburn-120-pod.html", "Auburn +120 POD")</f>
        <v>Auburn +120 POD</v>
      </c>
      <c r="E1214" s="11">
        <v>5.5</v>
      </c>
      <c r="F1214" s="11">
        <v>1.2</v>
      </c>
      <c r="G1214" s="11" t="s">
        <v>6</v>
      </c>
      <c r="H1214" s="13">
        <v>-5500</v>
      </c>
      <c r="I1214" s="14">
        <f t="shared" si="43"/>
        <v>0.43833000000000016</v>
      </c>
      <c r="J1214" s="13">
        <f t="shared" si="44"/>
        <v>310714.28000000003</v>
      </c>
    </row>
    <row r="1215" spans="1:10" x14ac:dyDescent="0.25">
      <c r="A1215" s="10">
        <v>42737</v>
      </c>
      <c r="B1215" s="11" t="s">
        <v>8</v>
      </c>
      <c r="C1215" s="11" t="s">
        <v>5</v>
      </c>
      <c r="D1215" s="16" t="str">
        <f>HYPERLINK("https://freddywills.com/pick/14/penn-state-7-5.html", "Penn State +7.5")</f>
        <v>Penn State +7.5</v>
      </c>
      <c r="E1215" s="11">
        <v>3.3</v>
      </c>
      <c r="F1215" s="11">
        <v>-1.1000000000000001</v>
      </c>
      <c r="G1215" s="11" t="s">
        <v>4</v>
      </c>
      <c r="H1215" s="13">
        <v>3000</v>
      </c>
      <c r="I1215" s="14">
        <f t="shared" si="43"/>
        <v>0.49333000000000016</v>
      </c>
      <c r="J1215" s="13">
        <f t="shared" si="44"/>
        <v>316214.28000000003</v>
      </c>
    </row>
    <row r="1216" spans="1:10" x14ac:dyDescent="0.25">
      <c r="A1216" s="10">
        <v>42736</v>
      </c>
      <c r="B1216" s="11" t="s">
        <v>2</v>
      </c>
      <c r="C1216" s="11" t="s">
        <v>5</v>
      </c>
      <c r="D1216" s="16" t="str">
        <f>HYPERLINK("https://freddywills.com/pick/15/jaguars-5.html", "Jaguars +5")</f>
        <v>Jaguars +5</v>
      </c>
      <c r="E1216" s="11">
        <v>3.3</v>
      </c>
      <c r="F1216" s="11">
        <v>-1.1000000000000001</v>
      </c>
      <c r="G1216" s="11" t="s">
        <v>4</v>
      </c>
      <c r="H1216" s="13">
        <v>3000</v>
      </c>
      <c r="I1216" s="14">
        <f t="shared" si="43"/>
        <v>0.46333000000000013</v>
      </c>
      <c r="J1216" s="13">
        <f t="shared" si="44"/>
        <v>313214.28000000003</v>
      </c>
    </row>
    <row r="1217" spans="1:10" x14ac:dyDescent="0.25">
      <c r="A1217" s="10">
        <v>42736</v>
      </c>
      <c r="B1217" s="11" t="s">
        <v>2</v>
      </c>
      <c r="C1217" s="11" t="s">
        <v>18</v>
      </c>
      <c r="D1217" s="16" t="str">
        <f>HYPERLINK("https://freddywills.com/pick/16/cowboys-240.html", "Cowboys +240")</f>
        <v>Cowboys +240</v>
      </c>
      <c r="E1217" s="11">
        <v>2</v>
      </c>
      <c r="F1217" s="11">
        <v>2.4</v>
      </c>
      <c r="G1217" s="11" t="s">
        <v>6</v>
      </c>
      <c r="H1217" s="13">
        <v>-2000</v>
      </c>
      <c r="I1217" s="14">
        <f t="shared" si="43"/>
        <v>0.43333000000000016</v>
      </c>
      <c r="J1217" s="13">
        <f t="shared" si="44"/>
        <v>310214.28000000003</v>
      </c>
    </row>
    <row r="1218" spans="1:10" x14ac:dyDescent="0.25">
      <c r="A1218" s="10">
        <v>42736</v>
      </c>
      <c r="B1218" s="11" t="s">
        <v>2</v>
      </c>
      <c r="C1218" s="11" t="s">
        <v>5</v>
      </c>
      <c r="D1218" s="16" t="str">
        <f>HYPERLINK("https://freddywills.com/pick/17/packers-3-5-pod.html", "Packers -3.5 POD")</f>
        <v>Packers -3.5 POD</v>
      </c>
      <c r="E1218" s="11">
        <v>5.5</v>
      </c>
      <c r="F1218" s="11">
        <v>-1.1000000000000001</v>
      </c>
      <c r="G1218" s="11" t="s">
        <v>4</v>
      </c>
      <c r="H1218" s="13">
        <v>5000</v>
      </c>
      <c r="I1218" s="14">
        <f t="shared" si="43"/>
        <v>0.45333000000000018</v>
      </c>
      <c r="J1218" s="13">
        <f t="shared" si="44"/>
        <v>312214.28000000003</v>
      </c>
    </row>
    <row r="1219" spans="1:10" x14ac:dyDescent="0.25">
      <c r="A1219" s="10">
        <v>42735</v>
      </c>
      <c r="B1219" s="11" t="s">
        <v>8</v>
      </c>
      <c r="C1219" s="11" t="s">
        <v>18</v>
      </c>
      <c r="D1219" s="16" t="str">
        <f>HYPERLINK("https://freddywills.com/pick/18/clemson-130-pod.html", "Clemson +130 POD")</f>
        <v>Clemson +130 POD</v>
      </c>
      <c r="E1219" s="11">
        <v>5.5</v>
      </c>
      <c r="F1219" s="11">
        <v>1.3</v>
      </c>
      <c r="G1219" s="11" t="s">
        <v>4</v>
      </c>
      <c r="H1219" s="13">
        <v>7150</v>
      </c>
      <c r="I1219" s="14">
        <f t="shared" si="43"/>
        <v>0.40333000000000019</v>
      </c>
      <c r="J1219" s="13">
        <f t="shared" si="44"/>
        <v>307214.28000000003</v>
      </c>
    </row>
    <row r="1220" spans="1:10" x14ac:dyDescent="0.25">
      <c r="A1220" s="10">
        <v>42735</v>
      </c>
      <c r="B1220" s="11" t="s">
        <v>8</v>
      </c>
      <c r="C1220" s="11" t="s">
        <v>5</v>
      </c>
      <c r="D1220" s="16" t="str">
        <f>HYPERLINK("https://freddywills.com/pick/19/alabama-14.html", "Alabama -14")</f>
        <v>Alabama -14</v>
      </c>
      <c r="E1220" s="11">
        <v>2.2000000000000002</v>
      </c>
      <c r="F1220" s="11">
        <v>-1.1000000000000001</v>
      </c>
      <c r="G1220" s="11" t="s">
        <v>4</v>
      </c>
      <c r="H1220" s="13">
        <v>2000</v>
      </c>
      <c r="I1220" s="14">
        <f t="shared" si="43"/>
        <v>0.33183000000000018</v>
      </c>
      <c r="J1220" s="13">
        <f t="shared" si="44"/>
        <v>300064.28000000003</v>
      </c>
    </row>
    <row r="1221" spans="1:10" x14ac:dyDescent="0.25">
      <c r="A1221" s="10">
        <v>42735</v>
      </c>
      <c r="B1221" s="11" t="s">
        <v>8</v>
      </c>
      <c r="C1221" s="11" t="s">
        <v>18</v>
      </c>
      <c r="D1221" s="16" t="str">
        <f>HYPERLINK("https://freddywills.com/pick/20/kentucky-145.html", "Kentucky +145")</f>
        <v>Kentucky +145</v>
      </c>
      <c r="E1221" s="11">
        <v>2</v>
      </c>
      <c r="F1221" s="11">
        <v>-1.1000000000000001</v>
      </c>
      <c r="G1221" s="11" t="s">
        <v>6</v>
      </c>
      <c r="H1221" s="13">
        <v>-2000</v>
      </c>
      <c r="I1221" s="14">
        <f t="shared" si="43"/>
        <v>0.31183000000000016</v>
      </c>
      <c r="J1221" s="13">
        <f t="shared" si="44"/>
        <v>298064.28000000003</v>
      </c>
    </row>
    <row r="1222" spans="1:10" x14ac:dyDescent="0.25">
      <c r="A1222" s="10">
        <v>42735</v>
      </c>
      <c r="B1222" s="11" t="s">
        <v>8</v>
      </c>
      <c r="C1222" s="11" t="s">
        <v>5</v>
      </c>
      <c r="D1222" s="16" t="str">
        <f>HYPERLINK("https://freddywills.com/pick/21/lsu-2-5-125.html", "LSU -2.5 -125")</f>
        <v>LSU -2.5 -125</v>
      </c>
      <c r="E1222" s="11">
        <v>3</v>
      </c>
      <c r="F1222" s="11">
        <v>-1.25</v>
      </c>
      <c r="G1222" s="11" t="s">
        <v>4</v>
      </c>
      <c r="H1222" s="13">
        <v>2400</v>
      </c>
      <c r="I1222" s="14">
        <f t="shared" si="43"/>
        <v>0.33183000000000018</v>
      </c>
      <c r="J1222" s="13">
        <f t="shared" si="44"/>
        <v>300064.28000000003</v>
      </c>
    </row>
    <row r="1223" spans="1:10" x14ac:dyDescent="0.25">
      <c r="A1223" s="10">
        <v>42734</v>
      </c>
      <c r="B1223" s="11" t="s">
        <v>8</v>
      </c>
      <c r="C1223" s="11" t="s">
        <v>10</v>
      </c>
      <c r="D1223" s="16" t="str">
        <f>HYPERLINK("https://freddywills.com/pick/22/north-carolina-8-5-tennessee-1-3-3.html", "North Carolina +8.5 / Tennessee -1 3.3%")</f>
        <v>North Carolina +8.5 / Tennessee -1 3.3%</v>
      </c>
      <c r="E1223" s="11">
        <v>3.3</v>
      </c>
      <c r="F1223" s="11">
        <v>-1.1000000000000001</v>
      </c>
      <c r="G1223" s="11" t="s">
        <v>4</v>
      </c>
      <c r="H1223" s="13">
        <v>3000</v>
      </c>
      <c r="I1223" s="14">
        <f t="shared" si="43"/>
        <v>0.30783000000000016</v>
      </c>
      <c r="J1223" s="13">
        <f t="shared" si="44"/>
        <v>297664.28000000003</v>
      </c>
    </row>
    <row r="1224" spans="1:10" x14ac:dyDescent="0.25">
      <c r="A1224" s="10">
        <v>42734</v>
      </c>
      <c r="B1224" s="11" t="s">
        <v>8</v>
      </c>
      <c r="C1224" s="11" t="s">
        <v>5</v>
      </c>
      <c r="D1224" s="16" t="str">
        <f>HYPERLINK("https://freddywills.com/pick/23/georgia-pk.html", "Georgia pk")</f>
        <v>Georgia pk</v>
      </c>
      <c r="E1224" s="11">
        <v>3.3</v>
      </c>
      <c r="F1224" s="11">
        <v>-1.1000000000000001</v>
      </c>
      <c r="G1224" s="11" t="s">
        <v>4</v>
      </c>
      <c r="H1224" s="13">
        <v>3000</v>
      </c>
      <c r="I1224" s="14">
        <f t="shared" si="43"/>
        <v>0.27783000000000013</v>
      </c>
      <c r="J1224" s="13">
        <f t="shared" si="44"/>
        <v>294664.28000000003</v>
      </c>
    </row>
    <row r="1225" spans="1:10" x14ac:dyDescent="0.25">
      <c r="A1225" s="10">
        <v>42734</v>
      </c>
      <c r="B1225" s="11" t="s">
        <v>8</v>
      </c>
      <c r="C1225" s="11" t="s">
        <v>18</v>
      </c>
      <c r="D1225" s="16" t="str">
        <f>HYPERLINK("https://freddywills.com/pick/24/south-alabama-435.html", "South Alabama +435")</f>
        <v>South Alabama +435</v>
      </c>
      <c r="E1225" s="11">
        <v>2</v>
      </c>
      <c r="F1225" s="11">
        <v>-1.1000000000000001</v>
      </c>
      <c r="G1225" s="11" t="s">
        <v>6</v>
      </c>
      <c r="H1225" s="13">
        <v>-2000</v>
      </c>
      <c r="I1225" s="14">
        <f t="shared" si="43"/>
        <v>0.24783000000000013</v>
      </c>
      <c r="J1225" s="13">
        <f t="shared" si="44"/>
        <v>291664.28000000003</v>
      </c>
    </row>
    <row r="1226" spans="1:10" x14ac:dyDescent="0.25">
      <c r="A1226" s="10">
        <v>42734</v>
      </c>
      <c r="B1226" s="11" t="s">
        <v>8</v>
      </c>
      <c r="C1226" s="11" t="s">
        <v>5</v>
      </c>
      <c r="D1226" s="16" t="str">
        <f>HYPERLINK("https://freddywills.com/pick/25/fsu-7-5-5-pod.html", "FSU +7 5.5% POD")</f>
        <v>FSU +7 5.5% POD</v>
      </c>
      <c r="E1226" s="11">
        <v>5.5</v>
      </c>
      <c r="F1226" s="11">
        <v>-1.1000000000000001</v>
      </c>
      <c r="G1226" s="11" t="s">
        <v>4</v>
      </c>
      <c r="H1226" s="13">
        <v>5000</v>
      </c>
      <c r="I1226" s="14">
        <f t="shared" si="43"/>
        <v>0.26783000000000012</v>
      </c>
      <c r="J1226" s="13">
        <f t="shared" si="44"/>
        <v>293664.28000000003</v>
      </c>
    </row>
    <row r="1227" spans="1:10" x14ac:dyDescent="0.25">
      <c r="A1227" s="10">
        <v>42733</v>
      </c>
      <c r="B1227" s="11" t="s">
        <v>8</v>
      </c>
      <c r="C1227" s="11" t="s">
        <v>5</v>
      </c>
      <c r="D1227" s="16" t="str">
        <f>HYPERLINK("https://freddywills.com/pick/26/south-carolina-10-pod.html", "South Carolina +10 POD")</f>
        <v>South Carolina +10 POD</v>
      </c>
      <c r="E1227" s="11">
        <v>5.5</v>
      </c>
      <c r="F1227" s="11">
        <v>-1.1000000000000001</v>
      </c>
      <c r="G1227" s="11" t="s">
        <v>4</v>
      </c>
      <c r="H1227" s="13">
        <v>5000</v>
      </c>
      <c r="I1227" s="14">
        <f t="shared" si="43"/>
        <v>0.21783000000000013</v>
      </c>
      <c r="J1227" s="13">
        <f t="shared" si="44"/>
        <v>288664.28000000003</v>
      </c>
    </row>
    <row r="1228" spans="1:10" x14ac:dyDescent="0.25">
      <c r="A1228" s="10">
        <v>42733</v>
      </c>
      <c r="B1228" s="11" t="s">
        <v>8</v>
      </c>
      <c r="C1228" s="11" t="s">
        <v>5</v>
      </c>
      <c r="D1228" s="16" t="str">
        <f>HYPERLINK("https://freddywills.com/pick/27/arkansas-7-4-4-play.html", "Arkansas +7 4.4% play")</f>
        <v>Arkansas +7 4.4% play</v>
      </c>
      <c r="E1228" s="11">
        <v>4.4000000000000004</v>
      </c>
      <c r="F1228" s="11">
        <v>-1.1000000000000001</v>
      </c>
      <c r="G1228" s="11" t="s">
        <v>6</v>
      </c>
      <c r="H1228" s="13">
        <v>-4400</v>
      </c>
      <c r="I1228" s="14">
        <f t="shared" si="43"/>
        <v>0.16783000000000015</v>
      </c>
      <c r="J1228" s="13">
        <f t="shared" si="44"/>
        <v>283664.28000000003</v>
      </c>
    </row>
    <row r="1229" spans="1:10" x14ac:dyDescent="0.25">
      <c r="A1229" s="10">
        <v>42732</v>
      </c>
      <c r="B1229" s="11" t="s">
        <v>8</v>
      </c>
      <c r="C1229" s="11" t="s">
        <v>5</v>
      </c>
      <c r="D1229" s="16" t="str">
        <f>HYPERLINK("https://freddywills.com/pick/28/miami-2-5-pod.html", "Miami -2.5 POD")</f>
        <v>Miami -2.5 POD</v>
      </c>
      <c r="E1229" s="11">
        <v>5.5</v>
      </c>
      <c r="F1229" s="11">
        <v>-1.1000000000000001</v>
      </c>
      <c r="G1229" s="11" t="s">
        <v>4</v>
      </c>
      <c r="H1229" s="13">
        <v>5000</v>
      </c>
      <c r="I1229" s="14">
        <f t="shared" si="43"/>
        <v>0.21183000000000013</v>
      </c>
      <c r="J1229" s="13">
        <f t="shared" si="44"/>
        <v>288064.28000000003</v>
      </c>
    </row>
    <row r="1230" spans="1:10" x14ac:dyDescent="0.25">
      <c r="A1230" s="10">
        <v>42732</v>
      </c>
      <c r="B1230" s="11" t="s">
        <v>8</v>
      </c>
      <c r="C1230" s="11" t="s">
        <v>5</v>
      </c>
      <c r="D1230" s="16" t="str">
        <f>HYPERLINK("https://freddywills.com/pick/29/pittsburgh-4-5-3-3-play.html", "Pittsburgh -4.5 3.3% play")</f>
        <v>Pittsburgh -4.5 3.3% play</v>
      </c>
      <c r="E1230" s="11">
        <v>3.3</v>
      </c>
      <c r="F1230" s="11">
        <v>-1.1000000000000001</v>
      </c>
      <c r="G1230" s="11" t="s">
        <v>6</v>
      </c>
      <c r="H1230" s="13">
        <v>-3300</v>
      </c>
      <c r="I1230" s="14">
        <f t="shared" si="43"/>
        <v>0.16183000000000011</v>
      </c>
      <c r="J1230" s="13">
        <f t="shared" si="44"/>
        <v>283064.28000000003</v>
      </c>
    </row>
    <row r="1231" spans="1:10" x14ac:dyDescent="0.25">
      <c r="A1231" s="10">
        <v>42732</v>
      </c>
      <c r="B1231" s="11" t="s">
        <v>8</v>
      </c>
      <c r="C1231" s="11" t="s">
        <v>5</v>
      </c>
      <c r="D1231" s="16" t="str">
        <f>HYPERLINK("https://freddywills.com/pick/30/colorado-3.html", "Colorado -3")</f>
        <v>Colorado -3</v>
      </c>
      <c r="E1231" s="11">
        <v>2.2000000000000002</v>
      </c>
      <c r="F1231" s="11">
        <v>-1.1000000000000001</v>
      </c>
      <c r="G1231" s="11" t="s">
        <v>6</v>
      </c>
      <c r="H1231" s="13">
        <v>-2200</v>
      </c>
      <c r="I1231" s="14">
        <f t="shared" si="43"/>
        <v>0.19483000000000011</v>
      </c>
      <c r="J1231" s="13">
        <f t="shared" si="44"/>
        <v>286364.28000000003</v>
      </c>
    </row>
    <row r="1232" spans="1:10" x14ac:dyDescent="0.25">
      <c r="A1232" s="10">
        <v>42731</v>
      </c>
      <c r="B1232" s="11" t="s">
        <v>8</v>
      </c>
      <c r="C1232" s="11" t="s">
        <v>18</v>
      </c>
      <c r="D1232" s="16" t="str">
        <f>HYPERLINK("https://freddywills.com/pick/31/army-10.html", "Army -10")</f>
        <v>Army -10</v>
      </c>
      <c r="E1232" s="11">
        <v>3.3</v>
      </c>
      <c r="F1232" s="11">
        <v>-1.1000000000000001</v>
      </c>
      <c r="G1232" s="11" t="s">
        <v>6</v>
      </c>
      <c r="H1232" s="13">
        <v>-3300</v>
      </c>
      <c r="I1232" s="14">
        <f t="shared" si="43"/>
        <v>0.21683000000000011</v>
      </c>
      <c r="J1232" s="13">
        <f t="shared" si="44"/>
        <v>288564.28000000003</v>
      </c>
    </row>
    <row r="1233" spans="1:10" x14ac:dyDescent="0.25">
      <c r="A1233" s="10">
        <v>42731</v>
      </c>
      <c r="B1233" s="11" t="s">
        <v>8</v>
      </c>
      <c r="C1233" s="11" t="s">
        <v>5</v>
      </c>
      <c r="D1233" s="16" t="str">
        <f>HYPERLINK("https://freddywills.com/pick/32/minnesota-10-pod.html", "Minnesota +10 POD")</f>
        <v>Minnesota +10 POD</v>
      </c>
      <c r="E1233" s="11">
        <v>5.5</v>
      </c>
      <c r="F1233" s="11">
        <v>-1.1000000000000001</v>
      </c>
      <c r="G1233" s="11" t="s">
        <v>4</v>
      </c>
      <c r="H1233" s="13">
        <v>5000</v>
      </c>
      <c r="I1233" s="14">
        <f t="shared" si="43"/>
        <v>0.24983000000000011</v>
      </c>
      <c r="J1233" s="13">
        <f t="shared" si="44"/>
        <v>291864.28000000003</v>
      </c>
    </row>
    <row r="1234" spans="1:10" x14ac:dyDescent="0.25">
      <c r="A1234" s="10">
        <v>42731</v>
      </c>
      <c r="B1234" s="11" t="s">
        <v>8</v>
      </c>
      <c r="C1234" s="11" t="s">
        <v>18</v>
      </c>
      <c r="D1234" s="16" t="str">
        <f>HYPERLINK("https://freddywills.com/pick/33/wake-forest-350.html", "Wake Forest +350")</f>
        <v>Wake Forest +350</v>
      </c>
      <c r="E1234" s="11">
        <v>2.5</v>
      </c>
      <c r="F1234" s="11">
        <v>3.5</v>
      </c>
      <c r="G1234" s="11" t="s">
        <v>4</v>
      </c>
      <c r="H1234" s="13">
        <v>8750</v>
      </c>
      <c r="I1234" s="14">
        <f t="shared" si="43"/>
        <v>0.19983000000000012</v>
      </c>
      <c r="J1234" s="13">
        <f t="shared" si="44"/>
        <v>286864.28000000003</v>
      </c>
    </row>
    <row r="1235" spans="1:10" x14ac:dyDescent="0.25">
      <c r="A1235" s="10">
        <v>42730</v>
      </c>
      <c r="B1235" s="11" t="s">
        <v>8</v>
      </c>
      <c r="C1235" s="11" t="s">
        <v>5</v>
      </c>
      <c r="D1235" s="16" t="str">
        <f>HYPERLINK("https://freddywills.com/pick/34/boston-college-2-5-pod.html", "Boston College +2.5 POD")</f>
        <v>Boston College +2.5 POD</v>
      </c>
      <c r="E1235" s="11">
        <v>5.5</v>
      </c>
      <c r="F1235" s="11">
        <v>-1.1000000000000001</v>
      </c>
      <c r="G1235" s="11" t="s">
        <v>4</v>
      </c>
      <c r="H1235" s="13">
        <v>5000</v>
      </c>
      <c r="I1235" s="14">
        <f t="shared" si="43"/>
        <v>0.11233000000000012</v>
      </c>
      <c r="J1235" s="13">
        <f t="shared" si="44"/>
        <v>278114.28000000003</v>
      </c>
    </row>
    <row r="1236" spans="1:10" x14ac:dyDescent="0.25">
      <c r="A1236" s="10">
        <v>42730</v>
      </c>
      <c r="B1236" s="11" t="s">
        <v>8</v>
      </c>
      <c r="C1236" s="11" t="s">
        <v>5</v>
      </c>
      <c r="D1236" s="16" t="str">
        <f>HYPERLINK("https://freddywills.com/pick/35/vanderbilt-6.html", "VANDERBILT +6")</f>
        <v>VANDERBILT +6</v>
      </c>
      <c r="E1236" s="11">
        <v>2.2000000000000002</v>
      </c>
      <c r="F1236" s="11">
        <v>-1.1000000000000001</v>
      </c>
      <c r="G1236" s="11" t="s">
        <v>6</v>
      </c>
      <c r="H1236" s="13">
        <v>-2200</v>
      </c>
      <c r="I1236" s="14">
        <f t="shared" si="43"/>
        <v>6.2330000000000128E-2</v>
      </c>
      <c r="J1236" s="13">
        <f t="shared" si="44"/>
        <v>273114.28000000003</v>
      </c>
    </row>
    <row r="1237" spans="1:10" x14ac:dyDescent="0.25">
      <c r="A1237" s="10">
        <v>42728</v>
      </c>
      <c r="B1237" s="11" t="s">
        <v>8</v>
      </c>
      <c r="C1237" s="11" t="s">
        <v>5</v>
      </c>
      <c r="D1237" s="16" t="str">
        <f>HYPERLINK("https://freddywills.com/pick/36/mtsu-7.html", "MTSU -7")</f>
        <v>MTSU -7</v>
      </c>
      <c r="E1237" s="11">
        <v>3.3</v>
      </c>
      <c r="F1237" s="11">
        <v>-1.1000000000000001</v>
      </c>
      <c r="G1237" s="11" t="s">
        <v>6</v>
      </c>
      <c r="H1237" s="13">
        <v>-3300</v>
      </c>
      <c r="I1237" s="14">
        <f t="shared" si="43"/>
        <v>8.4330000000000127E-2</v>
      </c>
      <c r="J1237" s="13">
        <f t="shared" si="44"/>
        <v>275314.28000000003</v>
      </c>
    </row>
    <row r="1238" spans="1:10" x14ac:dyDescent="0.25">
      <c r="A1238" s="10">
        <v>42728</v>
      </c>
      <c r="B1238" s="11" t="s">
        <v>2</v>
      </c>
      <c r="C1238" s="11" t="s">
        <v>18</v>
      </c>
      <c r="D1238" s="16" t="str">
        <f>HYPERLINK("https://freddywills.com/pick/37/colts-165.html", "COLTS +165")</f>
        <v>COLTS +165</v>
      </c>
      <c r="E1238" s="11">
        <v>2.5</v>
      </c>
      <c r="F1238" s="11">
        <v>1.65</v>
      </c>
      <c r="G1238" s="11" t="s">
        <v>6</v>
      </c>
      <c r="H1238" s="13">
        <v>-2500</v>
      </c>
      <c r="I1238" s="14">
        <f t="shared" si="43"/>
        <v>0.11733000000000013</v>
      </c>
      <c r="J1238" s="13">
        <f t="shared" si="44"/>
        <v>278614.28000000003</v>
      </c>
    </row>
    <row r="1239" spans="1:10" x14ac:dyDescent="0.25">
      <c r="A1239" s="10">
        <v>42728</v>
      </c>
      <c r="B1239" s="11" t="s">
        <v>2</v>
      </c>
      <c r="C1239" s="11" t="s">
        <v>5</v>
      </c>
      <c r="D1239" s="16" t="str">
        <f>HYPERLINK("https://freddywills.com/pick/38/cardinals-8.html", "Cardinals +8")</f>
        <v>Cardinals +8</v>
      </c>
      <c r="E1239" s="11">
        <v>3.3</v>
      </c>
      <c r="F1239" s="11">
        <v>-1.1000000000000001</v>
      </c>
      <c r="G1239" s="11" t="s">
        <v>4</v>
      </c>
      <c r="H1239" s="13">
        <v>3000</v>
      </c>
      <c r="I1239" s="14">
        <f t="shared" si="43"/>
        <v>0.14233000000000012</v>
      </c>
      <c r="J1239" s="13">
        <f t="shared" si="44"/>
        <v>281114.28000000003</v>
      </c>
    </row>
    <row r="1240" spans="1:10" x14ac:dyDescent="0.25">
      <c r="A1240" s="10">
        <v>42728</v>
      </c>
      <c r="B1240" s="11" t="s">
        <v>2</v>
      </c>
      <c r="C1240" s="11" t="s">
        <v>5</v>
      </c>
      <c r="D1240" s="16" t="str">
        <f>HYPERLINK("https://freddywills.com/pick/39/dolphins-4-5.html", "Dolphins +4.5")</f>
        <v>Dolphins +4.5</v>
      </c>
      <c r="E1240" s="11">
        <v>5.5</v>
      </c>
      <c r="F1240" s="11">
        <v>-1.1000000000000001</v>
      </c>
      <c r="G1240" s="11" t="s">
        <v>4</v>
      </c>
      <c r="H1240" s="13">
        <v>5000</v>
      </c>
      <c r="I1240" s="14">
        <f t="shared" si="43"/>
        <v>0.11233000000000012</v>
      </c>
      <c r="J1240" s="13">
        <f t="shared" si="44"/>
        <v>278114.28000000003</v>
      </c>
    </row>
    <row r="1241" spans="1:10" x14ac:dyDescent="0.25">
      <c r="A1241" s="10">
        <v>42727</v>
      </c>
      <c r="B1241" s="11" t="s">
        <v>8</v>
      </c>
      <c r="C1241" s="11" t="s">
        <v>7</v>
      </c>
      <c r="D1241" s="16" t="str">
        <f>HYPERLINK("https://freddywills.com/pick/40/ohio-troy-under-50.html", "ohio/troy under 50")</f>
        <v>ohio/troy under 50</v>
      </c>
      <c r="E1241" s="11">
        <v>2.2000000000000002</v>
      </c>
      <c r="F1241" s="11">
        <v>-1.1000000000000001</v>
      </c>
      <c r="G1241" s="11" t="s">
        <v>6</v>
      </c>
      <c r="H1241" s="13">
        <v>-2200</v>
      </c>
      <c r="I1241" s="14">
        <f t="shared" si="43"/>
        <v>6.2330000000000114E-2</v>
      </c>
      <c r="J1241" s="13">
        <f t="shared" si="44"/>
        <v>273114.28000000003</v>
      </c>
    </row>
    <row r="1242" spans="1:10" x14ac:dyDescent="0.25">
      <c r="A1242" s="10">
        <v>42727</v>
      </c>
      <c r="B1242" s="11" t="s">
        <v>8</v>
      </c>
      <c r="C1242" s="11" t="s">
        <v>7</v>
      </c>
      <c r="D1242" s="16" t="str">
        <f>HYPERLINK("https://freddywills.com/pick/41/latech-navy-over-67-5-pod.html", "LATech/Navy Over 67.5 POD")</f>
        <v>LATech/Navy Over 67.5 POD</v>
      </c>
      <c r="E1242" s="11">
        <v>4.4000000000000004</v>
      </c>
      <c r="F1242" s="11">
        <v>-1.1000000000000001</v>
      </c>
      <c r="G1242" s="11" t="s">
        <v>4</v>
      </c>
      <c r="H1242" s="13">
        <v>4000</v>
      </c>
      <c r="I1242" s="14">
        <f t="shared" si="43"/>
        <v>8.4330000000000113E-2</v>
      </c>
      <c r="J1242" s="13">
        <f t="shared" si="44"/>
        <v>275314.28000000003</v>
      </c>
    </row>
    <row r="1243" spans="1:10" x14ac:dyDescent="0.25">
      <c r="A1243" s="10">
        <v>42726</v>
      </c>
      <c r="B1243" s="11" t="s">
        <v>8</v>
      </c>
      <c r="C1243" s="11" t="s">
        <v>5</v>
      </c>
      <c r="D1243" s="16" t="str">
        <f>HYPERLINK("https://freddywills.com/pick/42/la-tech-6-5.html", "LA Tech -6.5")</f>
        <v>LA Tech -6.5</v>
      </c>
      <c r="E1243" s="11">
        <v>2.2000000000000002</v>
      </c>
      <c r="F1243" s="11">
        <v>-1.1000000000000001</v>
      </c>
      <c r="G1243" s="11" t="s">
        <v>6</v>
      </c>
      <c r="H1243" s="13">
        <v>-2200</v>
      </c>
      <c r="I1243" s="14">
        <f t="shared" si="43"/>
        <v>4.4330000000000112E-2</v>
      </c>
      <c r="J1243" s="13">
        <f t="shared" si="44"/>
        <v>271314.28000000003</v>
      </c>
    </row>
    <row r="1244" spans="1:10" x14ac:dyDescent="0.25">
      <c r="A1244" s="10">
        <v>42725</v>
      </c>
      <c r="B1244" s="11" t="s">
        <v>8</v>
      </c>
      <c r="C1244" s="11" t="s">
        <v>5</v>
      </c>
      <c r="D1244" s="16" t="str">
        <f>HYPERLINK("https://freddywills.com/pick/43/wyoming-10.html", "Wyoming +10")</f>
        <v>Wyoming +10</v>
      </c>
      <c r="E1244" s="11">
        <v>3.3</v>
      </c>
      <c r="F1244" s="11">
        <v>-1.1000000000000001</v>
      </c>
      <c r="G1244" s="11" t="s">
        <v>4</v>
      </c>
      <c r="H1244" s="13">
        <v>3000</v>
      </c>
      <c r="I1244" s="14">
        <f t="shared" si="43"/>
        <v>6.6330000000000111E-2</v>
      </c>
      <c r="J1244" s="13">
        <f t="shared" si="44"/>
        <v>273514.28000000003</v>
      </c>
    </row>
    <row r="1245" spans="1:10" x14ac:dyDescent="0.25">
      <c r="A1245" s="10">
        <v>42724</v>
      </c>
      <c r="B1245" s="11" t="s">
        <v>8</v>
      </c>
      <c r="C1245" s="11" t="s">
        <v>5</v>
      </c>
      <c r="D1245" s="16" t="str">
        <f>HYPERLINK("https://freddywills.com/pick/44/western-kentucky-6-5.html", "Western Kentucky -6.5")</f>
        <v>Western Kentucky -6.5</v>
      </c>
      <c r="E1245" s="11">
        <v>3.3</v>
      </c>
      <c r="F1245" s="11">
        <v>-1.1000000000000001</v>
      </c>
      <c r="G1245" s="11" t="s">
        <v>4</v>
      </c>
      <c r="H1245" s="13">
        <v>3000</v>
      </c>
      <c r="I1245" s="14">
        <f t="shared" si="43"/>
        <v>3.6330000000000119E-2</v>
      </c>
      <c r="J1245" s="13">
        <f t="shared" si="44"/>
        <v>270514.28000000003</v>
      </c>
    </row>
    <row r="1246" spans="1:10" x14ac:dyDescent="0.25">
      <c r="A1246" s="10">
        <v>42723</v>
      </c>
      <c r="B1246" s="11" t="s">
        <v>8</v>
      </c>
      <c r="C1246" s="11" t="s">
        <v>5</v>
      </c>
      <c r="D1246" s="16" t="str">
        <f>HYPERLINK("https://freddywills.com/pick/45/central-michigan-14.html", "Central Michigan +14")</f>
        <v>Central Michigan +14</v>
      </c>
      <c r="E1246" s="11">
        <v>2.2000000000000002</v>
      </c>
      <c r="F1246" s="11">
        <v>-1.1000000000000001</v>
      </c>
      <c r="G1246" s="11" t="s">
        <v>6</v>
      </c>
      <c r="H1246" s="13">
        <v>-2200</v>
      </c>
      <c r="I1246" s="14">
        <f t="shared" si="43"/>
        <v>6.3300000000001203E-3</v>
      </c>
      <c r="J1246" s="13">
        <f t="shared" si="44"/>
        <v>267514.28000000003</v>
      </c>
    </row>
    <row r="1247" spans="1:10" x14ac:dyDescent="0.25">
      <c r="A1247" s="10">
        <v>42722</v>
      </c>
      <c r="B1247" s="11" t="s">
        <v>2</v>
      </c>
      <c r="C1247" s="11" t="s">
        <v>18</v>
      </c>
      <c r="D1247" s="16" t="str">
        <f>HYPERLINK("https://freddywills.com/pick/46/titans-220-3.html", "Titans +220 3%")</f>
        <v>Titans +220 3%</v>
      </c>
      <c r="E1247" s="11">
        <v>3</v>
      </c>
      <c r="F1247" s="11">
        <v>2.2000000000000002</v>
      </c>
      <c r="G1247" s="11" t="s">
        <v>4</v>
      </c>
      <c r="H1247" s="13">
        <v>6600</v>
      </c>
      <c r="I1247" s="14">
        <f t="shared" si="43"/>
        <v>2.8330000000000119E-2</v>
      </c>
      <c r="J1247" s="13">
        <f t="shared" si="44"/>
        <v>269714.28000000003</v>
      </c>
    </row>
    <row r="1248" spans="1:10" x14ac:dyDescent="0.25">
      <c r="A1248" s="10">
        <v>42722</v>
      </c>
      <c r="B1248" s="11" t="s">
        <v>2</v>
      </c>
      <c r="C1248" s="11" t="s">
        <v>18</v>
      </c>
      <c r="D1248" s="16" t="str">
        <f>HYPERLINK("https://freddywills.com/pick/47/chargers-125-2.html", "Chargers +125 2%")</f>
        <v>Chargers +125 2%</v>
      </c>
      <c r="E1248" s="11">
        <v>2</v>
      </c>
      <c r="F1248" s="11">
        <v>1.25</v>
      </c>
      <c r="G1248" s="11" t="s">
        <v>6</v>
      </c>
      <c r="H1248" s="13">
        <v>-2000</v>
      </c>
      <c r="I1248" s="14">
        <f t="shared" si="43"/>
        <v>-3.7669999999999884E-2</v>
      </c>
      <c r="J1248" s="13">
        <f t="shared" si="44"/>
        <v>263114.28000000003</v>
      </c>
    </row>
    <row r="1249" spans="1:10" x14ac:dyDescent="0.25">
      <c r="A1249" s="10">
        <v>42722</v>
      </c>
      <c r="B1249" s="11" t="s">
        <v>2</v>
      </c>
      <c r="C1249" s="11" t="s">
        <v>5</v>
      </c>
      <c r="D1249" s="16" t="str">
        <f>HYPERLINK("https://freddywills.com/pick/48/jaguars-3-5-2-2.html", "Jaguars +3.5 2.2%")</f>
        <v>Jaguars +3.5 2.2%</v>
      </c>
      <c r="E1249" s="11">
        <v>2.2000000000000002</v>
      </c>
      <c r="F1249" s="11">
        <v>-1.1000000000000001</v>
      </c>
      <c r="G1249" s="11" t="s">
        <v>4</v>
      </c>
      <c r="H1249" s="13">
        <v>2000</v>
      </c>
      <c r="I1249" s="14">
        <f t="shared" si="43"/>
        <v>-1.7669999999999884E-2</v>
      </c>
      <c r="J1249" s="13">
        <f t="shared" si="44"/>
        <v>265114.28000000003</v>
      </c>
    </row>
    <row r="1250" spans="1:10" x14ac:dyDescent="0.25">
      <c r="A1250" s="10">
        <v>42722</v>
      </c>
      <c r="B1250" s="11" t="s">
        <v>2</v>
      </c>
      <c r="C1250" s="11" t="s">
        <v>5</v>
      </c>
      <c r="D1250" s="16" t="str">
        <f>HYPERLINK("https://freddywills.com/pick/49/bears-4-5-pod.html", "Bears +4.5 POD")</f>
        <v>Bears +4.5 POD</v>
      </c>
      <c r="E1250" s="11">
        <v>5.5</v>
      </c>
      <c r="F1250" s="11">
        <v>-1.1000000000000001</v>
      </c>
      <c r="G1250" s="11" t="s">
        <v>4</v>
      </c>
      <c r="H1250" s="13">
        <v>5000</v>
      </c>
      <c r="I1250" s="14">
        <f t="shared" si="43"/>
        <v>-3.7669999999999884E-2</v>
      </c>
      <c r="J1250" s="13">
        <f t="shared" si="44"/>
        <v>263114.28000000003</v>
      </c>
    </row>
    <row r="1251" spans="1:10" x14ac:dyDescent="0.25">
      <c r="A1251" s="10">
        <v>42721</v>
      </c>
      <c r="B1251" s="11" t="s">
        <v>8</v>
      </c>
      <c r="C1251" s="11" t="s">
        <v>5</v>
      </c>
      <c r="D1251" s="16" t="str">
        <f>HYPERLINK("https://freddywills.com/pick/50/utsa-7-5-4-4-pod.html", "UTSA +7.5 4.4% POD")</f>
        <v>UTSA +7.5 4.4% POD</v>
      </c>
      <c r="E1251" s="11">
        <v>4.4000000000000004</v>
      </c>
      <c r="F1251" s="11">
        <v>-1.1000000000000001</v>
      </c>
      <c r="G1251" s="11" t="s">
        <v>4</v>
      </c>
      <c r="H1251" s="13">
        <v>4000</v>
      </c>
      <c r="I1251" s="14">
        <f t="shared" si="43"/>
        <v>-8.7669999999999887E-2</v>
      </c>
      <c r="J1251" s="13">
        <f t="shared" si="44"/>
        <v>258114.28000000003</v>
      </c>
    </row>
    <row r="1252" spans="1:10" x14ac:dyDescent="0.25">
      <c r="A1252" s="10">
        <v>42721</v>
      </c>
      <c r="B1252" s="11" t="s">
        <v>8</v>
      </c>
      <c r="C1252" s="11" t="s">
        <v>5</v>
      </c>
      <c r="D1252" s="16" t="str">
        <f>HYPERLINK("https://freddywills.com/pick/51/houston-4-2-2.html", "Houston -4 2.2%")</f>
        <v>Houston -4 2.2%</v>
      </c>
      <c r="E1252" s="11">
        <v>2.2000000000000002</v>
      </c>
      <c r="F1252" s="11">
        <v>-1.1000000000000001</v>
      </c>
      <c r="G1252" s="11" t="s">
        <v>6</v>
      </c>
      <c r="H1252" s="13">
        <v>-2200</v>
      </c>
      <c r="I1252" s="14">
        <f t="shared" si="43"/>
        <v>-0.12766999999999989</v>
      </c>
      <c r="J1252" s="13">
        <f t="shared" si="44"/>
        <v>254114.28000000003</v>
      </c>
    </row>
    <row r="1253" spans="1:10" x14ac:dyDescent="0.25">
      <c r="A1253" s="10">
        <v>42721</v>
      </c>
      <c r="B1253" s="11" t="s">
        <v>8</v>
      </c>
      <c r="C1253" s="11" t="s">
        <v>7</v>
      </c>
      <c r="D1253" s="16" t="str">
        <f>HYPERLINK("https://freddywills.com/pick/52/lafayette-smiss-o58-5.html", "Lafayette/ Smiss O58.5")</f>
        <v>Lafayette/ Smiss O58.5</v>
      </c>
      <c r="E1253" s="11">
        <v>2.2000000000000002</v>
      </c>
      <c r="F1253" s="11">
        <v>-1.1000000000000001</v>
      </c>
      <c r="G1253" s="11" t="s">
        <v>6</v>
      </c>
      <c r="H1253" s="13">
        <v>-2200</v>
      </c>
      <c r="I1253" s="14">
        <f t="shared" si="43"/>
        <v>-0.1056699999999999</v>
      </c>
      <c r="J1253" s="13">
        <f t="shared" si="44"/>
        <v>256314.28000000003</v>
      </c>
    </row>
    <row r="1254" spans="1:10" x14ac:dyDescent="0.25">
      <c r="A1254" s="10">
        <v>42715</v>
      </c>
      <c r="B1254" s="11" t="s">
        <v>2</v>
      </c>
      <c r="C1254" s="11" t="s">
        <v>5</v>
      </c>
      <c r="D1254" s="16" t="str">
        <f>HYPERLINK("https://freddywills.com/pick/53/cardinals-125.html", "Cardinals -125")</f>
        <v>Cardinals -125</v>
      </c>
      <c r="E1254" s="11">
        <v>2.5</v>
      </c>
      <c r="F1254" s="11">
        <v>-1.25</v>
      </c>
      <c r="G1254" s="11" t="s">
        <v>6</v>
      </c>
      <c r="H1254" s="13">
        <v>-2500</v>
      </c>
      <c r="I1254" s="14">
        <f t="shared" si="43"/>
        <v>-8.3669999999999911E-2</v>
      </c>
      <c r="J1254" s="13">
        <f t="shared" si="44"/>
        <v>258514.28000000003</v>
      </c>
    </row>
    <row r="1255" spans="1:10" x14ac:dyDescent="0.25">
      <c r="A1255" s="10">
        <v>42715</v>
      </c>
      <c r="B1255" s="11" t="s">
        <v>2</v>
      </c>
      <c r="C1255" s="11" t="s">
        <v>18</v>
      </c>
      <c r="D1255" s="16" t="str">
        <f>HYPERLINK("https://freddywills.com/pick/54/packers-140.html", "Packers +140")</f>
        <v>Packers +140</v>
      </c>
      <c r="E1255" s="11">
        <v>5.5</v>
      </c>
      <c r="F1255" s="11">
        <v>1.4</v>
      </c>
      <c r="G1255" s="11" t="s">
        <v>4</v>
      </c>
      <c r="H1255" s="13">
        <v>7700</v>
      </c>
      <c r="I1255" s="14">
        <f t="shared" si="43"/>
        <v>-5.8669999999999903E-2</v>
      </c>
      <c r="J1255" s="13">
        <f t="shared" si="44"/>
        <v>261014.28000000003</v>
      </c>
    </row>
    <row r="1256" spans="1:10" x14ac:dyDescent="0.25">
      <c r="A1256" s="10">
        <v>42715</v>
      </c>
      <c r="B1256" s="11" t="s">
        <v>2</v>
      </c>
      <c r="C1256" s="11" t="s">
        <v>5</v>
      </c>
      <c r="D1256" s="16" t="str">
        <f>HYPERLINK("https://freddywills.com/pick/55/bears-7-5.html", "Bears +7.5")</f>
        <v>Bears +7.5</v>
      </c>
      <c r="E1256" s="11">
        <v>2.2000000000000002</v>
      </c>
      <c r="F1256" s="11">
        <v>-1.1000000000000001</v>
      </c>
      <c r="G1256" s="11" t="s">
        <v>4</v>
      </c>
      <c r="H1256" s="13">
        <v>2000</v>
      </c>
      <c r="I1256" s="14">
        <f t="shared" si="43"/>
        <v>-0.1356699999999999</v>
      </c>
      <c r="J1256" s="13">
        <f t="shared" si="44"/>
        <v>253314.28000000003</v>
      </c>
    </row>
    <row r="1257" spans="1:10" x14ac:dyDescent="0.25">
      <c r="A1257" s="10">
        <v>42715</v>
      </c>
      <c r="B1257" s="11" t="s">
        <v>2</v>
      </c>
      <c r="C1257" s="11" t="s">
        <v>18</v>
      </c>
      <c r="D1257" s="16" t="str">
        <f>HYPERLINK("https://freddywills.com/pick/56/saints-110.html", "Saints +110")</f>
        <v>Saints +110</v>
      </c>
      <c r="E1257" s="11">
        <v>3</v>
      </c>
      <c r="F1257" s="11">
        <v>1.1000000000000001</v>
      </c>
      <c r="G1257" s="11" t="s">
        <v>6</v>
      </c>
      <c r="H1257" s="13">
        <v>-3000</v>
      </c>
      <c r="I1257" s="14">
        <f t="shared" si="43"/>
        <v>-0.15566999999999989</v>
      </c>
      <c r="J1257" s="13">
        <f t="shared" si="44"/>
        <v>251314.28000000003</v>
      </c>
    </row>
    <row r="1258" spans="1:10" x14ac:dyDescent="0.25">
      <c r="A1258" s="10">
        <v>42714</v>
      </c>
      <c r="B1258" s="11" t="s">
        <v>8</v>
      </c>
      <c r="C1258" s="11" t="s">
        <v>18</v>
      </c>
      <c r="D1258" s="16" t="str">
        <f>HYPERLINK("https://freddywills.com/pick/57/army-225-5-5-ncaaf-pod.html", "Army +225 5.5% NCAAF POD")</f>
        <v>Army +225 5.5% NCAAF POD</v>
      </c>
      <c r="E1258" s="11">
        <v>5.5</v>
      </c>
      <c r="F1258" s="11">
        <v>2.25</v>
      </c>
      <c r="G1258" s="11" t="s">
        <v>4</v>
      </c>
      <c r="H1258" s="13">
        <v>12375</v>
      </c>
      <c r="I1258" s="14">
        <f t="shared" si="43"/>
        <v>-0.12566999999999989</v>
      </c>
      <c r="J1258" s="13">
        <f t="shared" si="44"/>
        <v>254314.28000000003</v>
      </c>
    </row>
    <row r="1259" spans="1:10" x14ac:dyDescent="0.25">
      <c r="A1259" s="10">
        <v>42708</v>
      </c>
      <c r="B1259" s="11" t="s">
        <v>2</v>
      </c>
      <c r="C1259" s="11" t="s">
        <v>18</v>
      </c>
      <c r="D1259" s="16" t="str">
        <f>HYPERLINK("https://freddywills.com/pick/58/jaguars-4.html", "Jaguars +4")</f>
        <v>Jaguars +4</v>
      </c>
      <c r="E1259" s="11">
        <v>3.3</v>
      </c>
      <c r="F1259" s="11">
        <v>-1.1000000000000001</v>
      </c>
      <c r="G1259" s="11" t="s">
        <v>6</v>
      </c>
      <c r="H1259" s="13">
        <v>-3300</v>
      </c>
      <c r="I1259" s="14">
        <f t="shared" si="43"/>
        <v>-0.24941999999999989</v>
      </c>
      <c r="J1259" s="13">
        <f t="shared" si="44"/>
        <v>241939.28000000003</v>
      </c>
    </row>
    <row r="1260" spans="1:10" x14ac:dyDescent="0.25">
      <c r="A1260" s="10">
        <v>42708</v>
      </c>
      <c r="B1260" s="11" t="s">
        <v>2</v>
      </c>
      <c r="C1260" s="11" t="s">
        <v>5</v>
      </c>
      <c r="D1260" s="16" t="str">
        <f>HYPERLINK("https://freddywills.com/pick/59/bills-145-2.html", "Bills +145 2%")</f>
        <v>Bills +145 2%</v>
      </c>
      <c r="E1260" s="11">
        <v>2</v>
      </c>
      <c r="F1260" s="11">
        <v>1.45</v>
      </c>
      <c r="G1260" s="11" t="s">
        <v>6</v>
      </c>
      <c r="H1260" s="13">
        <v>-2000</v>
      </c>
      <c r="I1260" s="14">
        <f t="shared" si="43"/>
        <v>-0.21641999999999989</v>
      </c>
      <c r="J1260" s="13">
        <f t="shared" si="44"/>
        <v>245239.28000000003</v>
      </c>
    </row>
    <row r="1261" spans="1:10" x14ac:dyDescent="0.25">
      <c r="A1261" s="10">
        <v>42708</v>
      </c>
      <c r="B1261" s="11" t="s">
        <v>2</v>
      </c>
      <c r="C1261" s="11" t="s">
        <v>5</v>
      </c>
      <c r="D1261" s="16" t="str">
        <f>HYPERLINK("https://freddywills.com/pick/60/steelers-6-2-2.html", "Steelers -6 2.2%")</f>
        <v>Steelers -6 2.2%</v>
      </c>
      <c r="E1261" s="11">
        <v>2.2000000000000002</v>
      </c>
      <c r="F1261" s="11">
        <v>-1.1000000000000001</v>
      </c>
      <c r="G1261" s="11" t="s">
        <v>4</v>
      </c>
      <c r="H1261" s="13">
        <v>2000</v>
      </c>
      <c r="I1261" s="14">
        <f t="shared" si="43"/>
        <v>-0.1964199999999999</v>
      </c>
      <c r="J1261" s="13">
        <f t="shared" si="44"/>
        <v>247239.28000000003</v>
      </c>
    </row>
    <row r="1262" spans="1:10" x14ac:dyDescent="0.25">
      <c r="A1262" s="10">
        <v>42708</v>
      </c>
      <c r="B1262" s="11" t="s">
        <v>2</v>
      </c>
      <c r="C1262" s="11" t="s">
        <v>5</v>
      </c>
      <c r="D1262" s="16" t="str">
        <f>HYPERLINK("https://freddywills.com/pick/61/cardinals-2-5.html", "Cardinals -2.5")</f>
        <v>Cardinals -2.5</v>
      </c>
      <c r="E1262" s="11">
        <v>5.5</v>
      </c>
      <c r="F1262" s="11">
        <v>-1.1000000000000001</v>
      </c>
      <c r="G1262" s="11" t="s">
        <v>4</v>
      </c>
      <c r="H1262" s="13">
        <v>5000</v>
      </c>
      <c r="I1262" s="14">
        <f t="shared" si="43"/>
        <v>-0.21641999999999989</v>
      </c>
      <c r="J1262" s="13">
        <f t="shared" si="44"/>
        <v>245239.28000000003</v>
      </c>
    </row>
    <row r="1263" spans="1:10" x14ac:dyDescent="0.25">
      <c r="A1263" s="10">
        <v>42707</v>
      </c>
      <c r="B1263" s="11" t="s">
        <v>8</v>
      </c>
      <c r="C1263" s="11" t="s">
        <v>18</v>
      </c>
      <c r="D1263" s="16" t="str">
        <f>HYPERLINK("https://freddywills.com/pick/62/temple-130.html", "Temple +130")</f>
        <v>Temple +130</v>
      </c>
      <c r="E1263" s="11">
        <v>3.5</v>
      </c>
      <c r="F1263" s="11">
        <v>1.3</v>
      </c>
      <c r="G1263" s="11" t="s">
        <v>4</v>
      </c>
      <c r="H1263" s="13">
        <v>4550</v>
      </c>
      <c r="I1263" s="14">
        <f t="shared" si="43"/>
        <v>-0.26641999999999988</v>
      </c>
      <c r="J1263" s="13">
        <f t="shared" si="44"/>
        <v>240239.28000000003</v>
      </c>
    </row>
    <row r="1264" spans="1:10" x14ac:dyDescent="0.25">
      <c r="A1264" s="10">
        <v>42707</v>
      </c>
      <c r="B1264" s="11" t="s">
        <v>8</v>
      </c>
      <c r="C1264" s="11" t="s">
        <v>5</v>
      </c>
      <c r="D1264" s="16" t="str">
        <f>HYPERLINK("https://freddywills.com/pick/63/florida-24.html", "FLORIDA +24")</f>
        <v>FLORIDA +24</v>
      </c>
      <c r="E1264" s="11">
        <v>1.1000000000000001</v>
      </c>
      <c r="F1264" s="11">
        <v>-1.1000000000000001</v>
      </c>
      <c r="G1264" s="11" t="s">
        <v>6</v>
      </c>
      <c r="H1264" s="13">
        <v>-1100</v>
      </c>
      <c r="I1264" s="14">
        <f t="shared" si="43"/>
        <v>-0.31191999999999986</v>
      </c>
      <c r="J1264" s="13">
        <f t="shared" si="44"/>
        <v>235689.28000000003</v>
      </c>
    </row>
    <row r="1265" spans="1:10" x14ac:dyDescent="0.25">
      <c r="A1265" s="10">
        <v>42707</v>
      </c>
      <c r="B1265" s="11" t="s">
        <v>8</v>
      </c>
      <c r="C1265" s="11" t="s">
        <v>7</v>
      </c>
      <c r="D1265" s="16" t="str">
        <f>HYPERLINK("https://freddywills.com/pick/64/sd-state-wyoming-under-59-5.html", "SD State / Wyoming Under 59.5")</f>
        <v>SD State / Wyoming Under 59.5</v>
      </c>
      <c r="E1265" s="11">
        <v>3.3</v>
      </c>
      <c r="F1265" s="11">
        <v>-1.1000000000000001</v>
      </c>
      <c r="G1265" s="11" t="s">
        <v>4</v>
      </c>
      <c r="H1265" s="13">
        <v>3000</v>
      </c>
      <c r="I1265" s="14">
        <f t="shared" si="43"/>
        <v>-0.30091999999999985</v>
      </c>
      <c r="J1265" s="13">
        <f t="shared" si="44"/>
        <v>236789.28000000003</v>
      </c>
    </row>
    <row r="1266" spans="1:10" x14ac:dyDescent="0.25">
      <c r="A1266" s="10">
        <v>42707</v>
      </c>
      <c r="B1266" s="11" t="s">
        <v>8</v>
      </c>
      <c r="C1266" s="11" t="s">
        <v>5</v>
      </c>
      <c r="D1266" s="16" t="str">
        <f>HYPERLINK("https://freddywills.com/pick/65/penn-state-3-5.html", "Penn State +3.5")</f>
        <v>Penn State +3.5</v>
      </c>
      <c r="E1266" s="11">
        <v>5</v>
      </c>
      <c r="F1266" s="11">
        <v>-1.1499999999999999</v>
      </c>
      <c r="G1266" s="11" t="s">
        <v>4</v>
      </c>
      <c r="H1266" s="13">
        <v>4348</v>
      </c>
      <c r="I1266" s="14">
        <f t="shared" ref="I1266:I1329" si="45">(H1266/100000)+I1267</f>
        <v>-0.33091999999999983</v>
      </c>
      <c r="J1266" s="13">
        <f t="shared" ref="J1266:J1329" si="46">H1266+J1267</f>
        <v>233789.28000000003</v>
      </c>
    </row>
    <row r="1267" spans="1:10" x14ac:dyDescent="0.25">
      <c r="A1267" s="10">
        <v>42707</v>
      </c>
      <c r="B1267" s="11" t="s">
        <v>8</v>
      </c>
      <c r="C1267" s="11" t="s">
        <v>5</v>
      </c>
      <c r="D1267" s="16" t="str">
        <f>HYPERLINK("https://freddywills.com/pick/66/virginia-tech-10-5.html", "Virginia Tech +10.5")</f>
        <v>Virginia Tech +10.5</v>
      </c>
      <c r="E1267" s="11">
        <v>3.3</v>
      </c>
      <c r="F1267" s="11">
        <v>-1.1000000000000001</v>
      </c>
      <c r="G1267" s="11" t="s">
        <v>4</v>
      </c>
      <c r="H1267" s="13">
        <v>3000</v>
      </c>
      <c r="I1267" s="14">
        <f t="shared" si="45"/>
        <v>-0.37439999999999984</v>
      </c>
      <c r="J1267" s="13">
        <f t="shared" si="46"/>
        <v>229441.28000000003</v>
      </c>
    </row>
    <row r="1268" spans="1:10" x14ac:dyDescent="0.25">
      <c r="A1268" s="10">
        <v>42706</v>
      </c>
      <c r="B1268" s="11" t="s">
        <v>8</v>
      </c>
      <c r="C1268" s="11" t="s">
        <v>5</v>
      </c>
      <c r="D1268" s="16" t="str">
        <f>HYPERLINK("https://freddywills.com/pick/67/colorado-8.html", "Colorado +8")</f>
        <v>Colorado +8</v>
      </c>
      <c r="E1268" s="11">
        <v>4.4000000000000004</v>
      </c>
      <c r="F1268" s="11">
        <v>-1.1000000000000001</v>
      </c>
      <c r="G1268" s="11" t="s">
        <v>6</v>
      </c>
      <c r="H1268" s="13">
        <v>-4400</v>
      </c>
      <c r="I1268" s="14">
        <f t="shared" si="45"/>
        <v>-0.40439999999999987</v>
      </c>
      <c r="J1268" s="13">
        <f t="shared" si="46"/>
        <v>226441.28000000003</v>
      </c>
    </row>
    <row r="1269" spans="1:10" x14ac:dyDescent="0.25">
      <c r="A1269" s="10">
        <v>42706</v>
      </c>
      <c r="B1269" s="11" t="s">
        <v>8</v>
      </c>
      <c r="C1269" s="11" t="s">
        <v>5</v>
      </c>
      <c r="D1269" s="16" t="str">
        <f>HYPERLINK("https://freddywills.com/pick/68/ohio-18.html", "Ohio +18")</f>
        <v>Ohio +18</v>
      </c>
      <c r="E1269" s="11">
        <v>2.2000000000000002</v>
      </c>
      <c r="F1269" s="11">
        <v>-1.1000000000000001</v>
      </c>
      <c r="G1269" s="11" t="s">
        <v>4</v>
      </c>
      <c r="H1269" s="13">
        <v>2000</v>
      </c>
      <c r="I1269" s="14">
        <f t="shared" si="45"/>
        <v>-0.36039999999999989</v>
      </c>
      <c r="J1269" s="13">
        <f t="shared" si="46"/>
        <v>230841.28000000003</v>
      </c>
    </row>
    <row r="1270" spans="1:10" x14ac:dyDescent="0.25">
      <c r="A1270" s="10">
        <v>42701</v>
      </c>
      <c r="B1270" s="11" t="s">
        <v>2</v>
      </c>
      <c r="C1270" s="11" t="s">
        <v>5</v>
      </c>
      <c r="D1270" s="16" t="str">
        <f>HYPERLINK("https://freddywills.com/pick/69/panthers-3-5-5-5-nfl-pod.html", "Panthers +3.5 5.5% NFL POD")</f>
        <v>Panthers +3.5 5.5% NFL POD</v>
      </c>
      <c r="E1270" s="11">
        <v>5.5</v>
      </c>
      <c r="F1270" s="11">
        <v>-1.1000000000000001</v>
      </c>
      <c r="G1270" s="11" t="s">
        <v>4</v>
      </c>
      <c r="H1270" s="13">
        <v>5000</v>
      </c>
      <c r="I1270" s="14">
        <f t="shared" si="45"/>
        <v>-0.3803999999999999</v>
      </c>
      <c r="J1270" s="13">
        <f t="shared" si="46"/>
        <v>228841.28000000003</v>
      </c>
    </row>
    <row r="1271" spans="1:10" x14ac:dyDescent="0.25">
      <c r="A1271" s="10">
        <v>42700</v>
      </c>
      <c r="B1271" s="11" t="s">
        <v>8</v>
      </c>
      <c r="C1271" s="11" t="s">
        <v>18</v>
      </c>
      <c r="D1271" s="16" t="str">
        <f>HYPERLINK("https://freddywills.com/pick/70/california-146.html", "California +146")</f>
        <v>California +146</v>
      </c>
      <c r="E1271" s="11">
        <v>2.5</v>
      </c>
      <c r="F1271" s="11">
        <v>1.46</v>
      </c>
      <c r="G1271" s="11" t="s">
        <v>4</v>
      </c>
      <c r="H1271" s="13">
        <v>3650</v>
      </c>
      <c r="I1271" s="14">
        <f t="shared" si="45"/>
        <v>-0.43039999999999989</v>
      </c>
      <c r="J1271" s="13">
        <f t="shared" si="46"/>
        <v>223841.28000000003</v>
      </c>
    </row>
    <row r="1272" spans="1:10" x14ac:dyDescent="0.25">
      <c r="A1272" s="10">
        <v>42700</v>
      </c>
      <c r="B1272" s="11" t="s">
        <v>8</v>
      </c>
      <c r="C1272" s="11" t="s">
        <v>10</v>
      </c>
      <c r="D1272" s="16" t="str">
        <f>HYPERLINK("https://freddywills.com/pick/71/ohio-state-1-w-michigan-st-17-5.html", "Ohio State +1 w/ Michigan St +17.5")</f>
        <v>Ohio State +1 w/ Michigan St +17.5</v>
      </c>
      <c r="E1272" s="11">
        <v>3.3</v>
      </c>
      <c r="F1272" s="11">
        <v>-1.1000000000000001</v>
      </c>
      <c r="G1272" s="11" t="s">
        <v>6</v>
      </c>
      <c r="H1272" s="13">
        <v>-3300</v>
      </c>
      <c r="I1272" s="14">
        <f t="shared" si="45"/>
        <v>-0.46689999999999987</v>
      </c>
      <c r="J1272" s="13">
        <f t="shared" si="46"/>
        <v>220191.28000000003</v>
      </c>
    </row>
    <row r="1273" spans="1:10" x14ac:dyDescent="0.25">
      <c r="A1273" s="10">
        <v>42700</v>
      </c>
      <c r="B1273" s="11" t="s">
        <v>8</v>
      </c>
      <c r="C1273" s="11" t="s">
        <v>18</v>
      </c>
      <c r="D1273" s="16" t="str">
        <f>HYPERLINK("https://freddywills.com/pick/72/oregon-state-125.html", "Oregon State +125")</f>
        <v>Oregon State +125</v>
      </c>
      <c r="E1273" s="11">
        <v>1</v>
      </c>
      <c r="F1273" s="11">
        <v>1.25</v>
      </c>
      <c r="G1273" s="11" t="s">
        <v>4</v>
      </c>
      <c r="H1273" s="13">
        <v>1250</v>
      </c>
      <c r="I1273" s="14">
        <f t="shared" si="45"/>
        <v>-0.43389999999999984</v>
      </c>
      <c r="J1273" s="13">
        <f t="shared" si="46"/>
        <v>223491.28000000003</v>
      </c>
    </row>
    <row r="1274" spans="1:10" x14ac:dyDescent="0.25">
      <c r="A1274" s="10">
        <v>42699</v>
      </c>
      <c r="B1274" s="11" t="s">
        <v>8</v>
      </c>
      <c r="C1274" s="11" t="s">
        <v>5</v>
      </c>
      <c r="D1274" s="16" t="str">
        <f>HYPERLINK("https://freddywills.com/pick/73/iowa-1-5-2-2-play.html", "IOWA -1.5 2.2% PLAY")</f>
        <v>IOWA -1.5 2.2% PLAY</v>
      </c>
      <c r="E1274" s="11">
        <v>2.2000000000000002</v>
      </c>
      <c r="F1274" s="11">
        <v>-1.1000000000000001</v>
      </c>
      <c r="G1274" s="11" t="s">
        <v>4</v>
      </c>
      <c r="H1274" s="13">
        <v>2000</v>
      </c>
      <c r="I1274" s="14">
        <f t="shared" si="45"/>
        <v>-0.44639999999999985</v>
      </c>
      <c r="J1274" s="13">
        <f t="shared" si="46"/>
        <v>222241.28000000003</v>
      </c>
    </row>
    <row r="1275" spans="1:10" x14ac:dyDescent="0.25">
      <c r="A1275" s="10">
        <v>42699</v>
      </c>
      <c r="B1275" s="11" t="s">
        <v>8</v>
      </c>
      <c r="C1275" s="11" t="s">
        <v>5</v>
      </c>
      <c r="D1275" s="16" t="str">
        <f>HYPERLINK("https://freddywills.com/pick/74/air-force-8-5.html", "Air Force +8.5")</f>
        <v>Air Force +8.5</v>
      </c>
      <c r="E1275" s="11">
        <v>2.2000000000000002</v>
      </c>
      <c r="F1275" s="11">
        <v>-1.1000000000000001</v>
      </c>
      <c r="G1275" s="11" t="s">
        <v>4</v>
      </c>
      <c r="H1275" s="13">
        <v>2000</v>
      </c>
      <c r="I1275" s="14">
        <f t="shared" si="45"/>
        <v>-0.46639999999999987</v>
      </c>
      <c r="J1275" s="13">
        <f t="shared" si="46"/>
        <v>220241.28000000003</v>
      </c>
    </row>
    <row r="1276" spans="1:10" x14ac:dyDescent="0.25">
      <c r="A1276" s="10">
        <v>42699</v>
      </c>
      <c r="B1276" s="11" t="s">
        <v>8</v>
      </c>
      <c r="C1276" s="11" t="s">
        <v>5</v>
      </c>
      <c r="D1276" s="16" t="str">
        <f>HYPERLINK("https://freddywills.com/pick/75/kentucky-26.html", "Kentucky +26")</f>
        <v>Kentucky +26</v>
      </c>
      <c r="E1276" s="11">
        <v>4.4000000000000004</v>
      </c>
      <c r="F1276" s="11">
        <v>-1.1000000000000001</v>
      </c>
      <c r="G1276" s="11" t="s">
        <v>4</v>
      </c>
      <c r="H1276" s="13">
        <v>4000</v>
      </c>
      <c r="I1276" s="14">
        <f t="shared" si="45"/>
        <v>-0.48639999999999989</v>
      </c>
      <c r="J1276" s="13">
        <f t="shared" si="46"/>
        <v>218241.28000000003</v>
      </c>
    </row>
    <row r="1277" spans="1:10" x14ac:dyDescent="0.25">
      <c r="A1277" s="10">
        <v>42699</v>
      </c>
      <c r="B1277" s="11" t="s">
        <v>8</v>
      </c>
      <c r="C1277" s="11" t="s">
        <v>7</v>
      </c>
      <c r="D1277" s="16" t="str">
        <f>HYPERLINK("https://freddywills.com/pick/76/auburn-alaba-u47-5.html", "AUBURN/ALABA U47.5")</f>
        <v>AUBURN/ALABA U47.5</v>
      </c>
      <c r="E1277" s="11">
        <v>3.3</v>
      </c>
      <c r="F1277" s="11">
        <v>-1.1000000000000001</v>
      </c>
      <c r="G1277" s="11" t="s">
        <v>4</v>
      </c>
      <c r="H1277" s="13">
        <v>3000</v>
      </c>
      <c r="I1277" s="14">
        <f t="shared" si="45"/>
        <v>-0.52639999999999987</v>
      </c>
      <c r="J1277" s="13">
        <f t="shared" si="46"/>
        <v>214241.28000000003</v>
      </c>
    </row>
    <row r="1278" spans="1:10" x14ac:dyDescent="0.25">
      <c r="A1278" s="10">
        <v>42698</v>
      </c>
      <c r="B1278" s="11" t="s">
        <v>8</v>
      </c>
      <c r="C1278" s="11" t="s">
        <v>10</v>
      </c>
      <c r="D1278" s="16" t="str">
        <f>HYPERLINK("https://freddywills.com/pick/77/lsu-1-arkansas-1-5.html", "LSU -1 / Arkansas -1.5")</f>
        <v>LSU -1 / Arkansas -1.5</v>
      </c>
      <c r="E1278" s="11">
        <v>4.4000000000000004</v>
      </c>
      <c r="F1278" s="11">
        <v>-1.1000000000000001</v>
      </c>
      <c r="G1278" s="11" t="s">
        <v>6</v>
      </c>
      <c r="H1278" s="13">
        <v>-4400</v>
      </c>
      <c r="I1278" s="14">
        <f t="shared" si="45"/>
        <v>-0.55639999999999989</v>
      </c>
      <c r="J1278" s="13">
        <f t="shared" si="46"/>
        <v>211241.28000000003</v>
      </c>
    </row>
    <row r="1279" spans="1:10" x14ac:dyDescent="0.25">
      <c r="A1279" s="10">
        <v>42698</v>
      </c>
      <c r="B1279" s="11" t="s">
        <v>8</v>
      </c>
      <c r="C1279" s="11" t="s">
        <v>5</v>
      </c>
      <c r="D1279" s="16" t="str">
        <f>HYPERLINK("https://freddywills.com/pick/78/toledo-9-3-3.html", "Toledo +9 3.3%")</f>
        <v>Toledo +9 3.3%</v>
      </c>
      <c r="E1279" s="11">
        <v>3.3</v>
      </c>
      <c r="F1279" s="11">
        <v>-1.1000000000000001</v>
      </c>
      <c r="G1279" s="11" t="s">
        <v>6</v>
      </c>
      <c r="H1279" s="13">
        <v>-3300</v>
      </c>
      <c r="I1279" s="14">
        <f t="shared" si="45"/>
        <v>-0.51239999999999986</v>
      </c>
      <c r="J1279" s="13">
        <f t="shared" si="46"/>
        <v>215641.28000000003</v>
      </c>
    </row>
    <row r="1280" spans="1:10" x14ac:dyDescent="0.25">
      <c r="A1280" s="10">
        <v>42698</v>
      </c>
      <c r="B1280" s="11" t="s">
        <v>2</v>
      </c>
      <c r="C1280" s="11" t="s">
        <v>18</v>
      </c>
      <c r="D1280" s="16" t="str">
        <f>HYPERLINK("https://freddywills.com/pick/79/vikings-110.html", "VIKINGS +110")</f>
        <v>VIKINGS +110</v>
      </c>
      <c r="E1280" s="11">
        <v>5</v>
      </c>
      <c r="F1280" s="11">
        <v>1.1000000000000001</v>
      </c>
      <c r="G1280" s="11" t="s">
        <v>6</v>
      </c>
      <c r="H1280" s="13">
        <v>-5000</v>
      </c>
      <c r="I1280" s="14">
        <f t="shared" si="45"/>
        <v>-0.47939999999999988</v>
      </c>
      <c r="J1280" s="13">
        <f t="shared" si="46"/>
        <v>218941.28000000003</v>
      </c>
    </row>
    <row r="1281" spans="1:10" x14ac:dyDescent="0.25">
      <c r="A1281" s="10">
        <v>42698</v>
      </c>
      <c r="B1281" s="11" t="s">
        <v>2</v>
      </c>
      <c r="C1281" s="11" t="s">
        <v>7</v>
      </c>
      <c r="D1281" s="16" t="str">
        <f>HYPERLINK("https://freddywills.com/pick/80/redskins-cowboys-under-52.html", "Redskins/Cowboys Under 52")</f>
        <v>Redskins/Cowboys Under 52</v>
      </c>
      <c r="E1281" s="11">
        <v>3.3</v>
      </c>
      <c r="F1281" s="11">
        <v>-1.1000000000000001</v>
      </c>
      <c r="G1281" s="11" t="s">
        <v>6</v>
      </c>
      <c r="H1281" s="13">
        <v>-3300</v>
      </c>
      <c r="I1281" s="14">
        <f t="shared" si="45"/>
        <v>-0.42939999999999989</v>
      </c>
      <c r="J1281" s="13">
        <f t="shared" si="46"/>
        <v>223941.28000000003</v>
      </c>
    </row>
    <row r="1282" spans="1:10" x14ac:dyDescent="0.25">
      <c r="A1282" s="10">
        <v>42698</v>
      </c>
      <c r="B1282" s="11" t="s">
        <v>8</v>
      </c>
      <c r="C1282" s="11" t="s">
        <v>18</v>
      </c>
      <c r="D1282" s="16" t="str">
        <f>HYPERLINK("https://freddywills.com/pick/81/toledo-290.html", "Toledo +290")</f>
        <v>Toledo +290</v>
      </c>
      <c r="E1282" s="11">
        <v>1</v>
      </c>
      <c r="F1282" s="11">
        <v>2.9</v>
      </c>
      <c r="G1282" s="11" t="s">
        <v>6</v>
      </c>
      <c r="H1282" s="13">
        <v>-1000</v>
      </c>
      <c r="I1282" s="14">
        <f t="shared" si="45"/>
        <v>-0.39639999999999992</v>
      </c>
      <c r="J1282" s="13">
        <f t="shared" si="46"/>
        <v>227241.28000000003</v>
      </c>
    </row>
    <row r="1283" spans="1:10" x14ac:dyDescent="0.25">
      <c r="A1283" s="10">
        <v>42697</v>
      </c>
      <c r="B1283" s="11" t="s">
        <v>8</v>
      </c>
      <c r="C1283" s="11" t="s">
        <v>5</v>
      </c>
      <c r="D1283" s="16" t="str">
        <f>HYPERLINK("https://freddywills.com/pick/82/texas-3-4-4-pod.html", "Texas -3 4.4% POD")</f>
        <v>Texas -3 4.4% POD</v>
      </c>
      <c r="E1283" s="11">
        <v>4.4000000000000004</v>
      </c>
      <c r="F1283" s="11">
        <v>-1.1000000000000001</v>
      </c>
      <c r="G1283" s="11" t="s">
        <v>6</v>
      </c>
      <c r="H1283" s="13">
        <v>-4400</v>
      </c>
      <c r="I1283" s="14">
        <f t="shared" si="45"/>
        <v>-0.38639999999999991</v>
      </c>
      <c r="J1283" s="13">
        <f t="shared" si="46"/>
        <v>228241.28000000003</v>
      </c>
    </row>
    <row r="1284" spans="1:10" x14ac:dyDescent="0.25">
      <c r="A1284" s="10">
        <v>42694</v>
      </c>
      <c r="B1284" s="11" t="s">
        <v>2</v>
      </c>
      <c r="C1284" s="11" t="s">
        <v>5</v>
      </c>
      <c r="D1284" s="16" t="str">
        <f>HYPERLINK("https://freddywills.com/pick/83/ravens-7-5-5-5.html", "RAVENS +7.5 5.5%")</f>
        <v>RAVENS +7.5 5.5%</v>
      </c>
      <c r="E1284" s="11">
        <v>5.5</v>
      </c>
      <c r="F1284" s="11">
        <v>-1.1000000000000001</v>
      </c>
      <c r="G1284" s="11" t="s">
        <v>6</v>
      </c>
      <c r="H1284" s="13">
        <v>-5500</v>
      </c>
      <c r="I1284" s="14">
        <f t="shared" si="45"/>
        <v>-0.34239999999999993</v>
      </c>
      <c r="J1284" s="13">
        <f t="shared" si="46"/>
        <v>232641.28000000003</v>
      </c>
    </row>
    <row r="1285" spans="1:10" x14ac:dyDescent="0.25">
      <c r="A1285" s="10">
        <v>42694</v>
      </c>
      <c r="B1285" s="11" t="s">
        <v>2</v>
      </c>
      <c r="C1285" s="11" t="s">
        <v>5</v>
      </c>
      <c r="D1285" s="16" t="str">
        <f>HYPERLINK("https://freddywills.com/pick/84/indianapolis-2-5-2-2.html", "Indianapolis -2.5 2.2%")</f>
        <v>Indianapolis -2.5 2.2%</v>
      </c>
      <c r="E1285" s="11">
        <v>2.2000000000000002</v>
      </c>
      <c r="F1285" s="11">
        <v>-1.1000000000000001</v>
      </c>
      <c r="G1285" s="11" t="s">
        <v>4</v>
      </c>
      <c r="H1285" s="13">
        <v>2000</v>
      </c>
      <c r="I1285" s="14">
        <f t="shared" si="45"/>
        <v>-0.28739999999999993</v>
      </c>
      <c r="J1285" s="13">
        <f t="shared" si="46"/>
        <v>238141.28000000003</v>
      </c>
    </row>
    <row r="1286" spans="1:10" x14ac:dyDescent="0.25">
      <c r="A1286" s="10">
        <v>42694</v>
      </c>
      <c r="B1286" s="11" t="s">
        <v>2</v>
      </c>
      <c r="C1286" s="11" t="s">
        <v>18</v>
      </c>
      <c r="D1286" s="16" t="str">
        <f>HYPERLINK("https://freddywills.com/pick/85/ravens-300-2.html", "Ravens +300 2%")</f>
        <v>Ravens +300 2%</v>
      </c>
      <c r="E1286" s="11">
        <v>2</v>
      </c>
      <c r="F1286" s="11">
        <v>3</v>
      </c>
      <c r="G1286" s="11" t="s">
        <v>6</v>
      </c>
      <c r="H1286" s="13">
        <v>-2000</v>
      </c>
      <c r="I1286" s="14">
        <f t="shared" si="45"/>
        <v>-0.30739999999999995</v>
      </c>
      <c r="J1286" s="13">
        <f t="shared" si="46"/>
        <v>236141.28000000003</v>
      </c>
    </row>
    <row r="1287" spans="1:10" x14ac:dyDescent="0.25">
      <c r="A1287" s="10">
        <v>42694</v>
      </c>
      <c r="B1287" s="11" t="s">
        <v>2</v>
      </c>
      <c r="C1287" s="11" t="s">
        <v>5</v>
      </c>
      <c r="D1287" s="16" t="str">
        <f>HYPERLINK("https://freddywills.com/pick/86/tampa-7-5.html", "Tampa +7.5")</f>
        <v>Tampa +7.5</v>
      </c>
      <c r="E1287" s="11">
        <v>2.2000000000000002</v>
      </c>
      <c r="F1287" s="11">
        <v>-1.1000000000000001</v>
      </c>
      <c r="G1287" s="11" t="s">
        <v>6</v>
      </c>
      <c r="H1287" s="13">
        <v>-2200</v>
      </c>
      <c r="I1287" s="14">
        <f t="shared" si="45"/>
        <v>-0.28739999999999993</v>
      </c>
      <c r="J1287" s="13">
        <f t="shared" si="46"/>
        <v>238141.28000000003</v>
      </c>
    </row>
    <row r="1288" spans="1:10" x14ac:dyDescent="0.25">
      <c r="A1288" s="10">
        <v>42693</v>
      </c>
      <c r="B1288" s="11" t="s">
        <v>8</v>
      </c>
      <c r="C1288" s="11" t="s">
        <v>5</v>
      </c>
      <c r="D1288" s="16" t="str">
        <f>HYPERLINK("https://freddywills.com/pick/87/hawaii-3.html", "Hawaii -3")</f>
        <v>Hawaii -3</v>
      </c>
      <c r="E1288" s="11">
        <v>5.5</v>
      </c>
      <c r="F1288" s="11">
        <v>-1.05</v>
      </c>
      <c r="G1288" s="11" t="s">
        <v>6</v>
      </c>
      <c r="H1288" s="13">
        <v>-5500</v>
      </c>
      <c r="I1288" s="14">
        <f t="shared" si="45"/>
        <v>-0.26539999999999991</v>
      </c>
      <c r="J1288" s="13">
        <f t="shared" si="46"/>
        <v>240341.28000000003</v>
      </c>
    </row>
    <row r="1289" spans="1:10" x14ac:dyDescent="0.25">
      <c r="A1289" s="10">
        <v>42693</v>
      </c>
      <c r="B1289" s="11" t="s">
        <v>8</v>
      </c>
      <c r="C1289" s="11" t="s">
        <v>5</v>
      </c>
      <c r="D1289" s="16" t="str">
        <f>HYPERLINK("https://freddywills.com/pick/88/lafayette-23.html", "Lafayette +23")</f>
        <v>Lafayette +23</v>
      </c>
      <c r="E1289" s="11">
        <v>3.3</v>
      </c>
      <c r="F1289" s="11">
        <v>-1.1000000000000001</v>
      </c>
      <c r="G1289" s="11" t="s">
        <v>4</v>
      </c>
      <c r="H1289" s="13">
        <v>3000</v>
      </c>
      <c r="I1289" s="14">
        <f t="shared" si="45"/>
        <v>-0.21039999999999989</v>
      </c>
      <c r="J1289" s="13">
        <f t="shared" si="46"/>
        <v>245841.28000000003</v>
      </c>
    </row>
    <row r="1290" spans="1:10" x14ac:dyDescent="0.25">
      <c r="A1290" s="10">
        <v>42693</v>
      </c>
      <c r="B1290" s="11" t="s">
        <v>8</v>
      </c>
      <c r="C1290" s="11" t="s">
        <v>10</v>
      </c>
      <c r="D1290" s="16" t="str">
        <f>HYPERLINK("https://freddywills.com/pick/89/ucla-18-5-florida-20-5.html", "UCLA +18.5 / FLORIDA +20.5")</f>
        <v>UCLA +18.5 / FLORIDA +20.5</v>
      </c>
      <c r="E1290" s="11">
        <v>4.4000000000000004</v>
      </c>
      <c r="F1290" s="11">
        <v>-1.1000000000000001</v>
      </c>
      <c r="G1290" s="11" t="s">
        <v>6</v>
      </c>
      <c r="H1290" s="13">
        <v>-4400</v>
      </c>
      <c r="I1290" s="14">
        <f t="shared" si="45"/>
        <v>-0.24039999999999989</v>
      </c>
      <c r="J1290" s="13">
        <f t="shared" si="46"/>
        <v>242841.28000000003</v>
      </c>
    </row>
    <row r="1291" spans="1:10" x14ac:dyDescent="0.25">
      <c r="A1291" s="10">
        <v>42693</v>
      </c>
      <c r="B1291" s="11" t="s">
        <v>8</v>
      </c>
      <c r="C1291" s="11" t="s">
        <v>5</v>
      </c>
      <c r="D1291" s="16" t="str">
        <f>HYPERLINK("https://freddywills.com/pick/90/kansas-state-1-5.html", "Kansas State -1.5")</f>
        <v>Kansas State -1.5</v>
      </c>
      <c r="E1291" s="11">
        <v>2.2000000000000002</v>
      </c>
      <c r="F1291" s="11">
        <v>-1.1000000000000001</v>
      </c>
      <c r="G1291" s="11" t="s">
        <v>4</v>
      </c>
      <c r="H1291" s="13">
        <v>2000</v>
      </c>
      <c r="I1291" s="14">
        <f t="shared" si="45"/>
        <v>-0.19639999999999988</v>
      </c>
      <c r="J1291" s="13">
        <f t="shared" si="46"/>
        <v>247241.28000000003</v>
      </c>
    </row>
    <row r="1292" spans="1:10" x14ac:dyDescent="0.25">
      <c r="A1292" s="10">
        <v>42693</v>
      </c>
      <c r="B1292" s="11" t="s">
        <v>8</v>
      </c>
      <c r="C1292" s="11" t="s">
        <v>18</v>
      </c>
      <c r="D1292" s="16" t="str">
        <f>HYPERLINK("https://freddywills.com/pick/91/vanderbilt-320.html", "VANDERBILT +320")</f>
        <v>VANDERBILT +320</v>
      </c>
      <c r="E1292" s="11">
        <v>2</v>
      </c>
      <c r="F1292" s="11">
        <v>3.2</v>
      </c>
      <c r="G1292" s="11" t="s">
        <v>4</v>
      </c>
      <c r="H1292" s="13">
        <v>6400</v>
      </c>
      <c r="I1292" s="14">
        <f t="shared" si="45"/>
        <v>-0.21639999999999987</v>
      </c>
      <c r="J1292" s="13">
        <f t="shared" si="46"/>
        <v>245241.28000000003</v>
      </c>
    </row>
    <row r="1293" spans="1:10" x14ac:dyDescent="0.25">
      <c r="A1293" s="10">
        <v>42693</v>
      </c>
      <c r="B1293" s="11" t="s">
        <v>8</v>
      </c>
      <c r="C1293" s="11" t="s">
        <v>18</v>
      </c>
      <c r="D1293" s="16" t="str">
        <f>HYPERLINK("https://freddywills.com/pick/92/smu-410.html", "SMU +410")</f>
        <v>SMU +410</v>
      </c>
      <c r="E1293" s="11">
        <v>1.5</v>
      </c>
      <c r="F1293" s="11">
        <v>4.0999999999999996</v>
      </c>
      <c r="G1293" s="11" t="s">
        <v>6</v>
      </c>
      <c r="H1293" s="13">
        <v>-1500</v>
      </c>
      <c r="I1293" s="14">
        <f t="shared" si="45"/>
        <v>-0.28039999999999987</v>
      </c>
      <c r="J1293" s="13">
        <f t="shared" si="46"/>
        <v>238841.28000000003</v>
      </c>
    </row>
    <row r="1294" spans="1:10" x14ac:dyDescent="0.25">
      <c r="A1294" s="10">
        <v>42693</v>
      </c>
      <c r="B1294" s="11" t="s">
        <v>8</v>
      </c>
      <c r="C1294" s="11" t="s">
        <v>5</v>
      </c>
      <c r="D1294" s="16" t="str">
        <f>HYPERLINK("https://freddywills.com/pick/93/northwestern-1-5.html", "Northwestern -1.5")</f>
        <v>Northwestern -1.5</v>
      </c>
      <c r="E1294" s="11">
        <v>3.3</v>
      </c>
      <c r="F1294" s="11">
        <v>-1.1000000000000001</v>
      </c>
      <c r="G1294" s="11" t="s">
        <v>6</v>
      </c>
      <c r="H1294" s="13">
        <v>-3300</v>
      </c>
      <c r="I1294" s="14">
        <f t="shared" si="45"/>
        <v>-0.26539999999999986</v>
      </c>
      <c r="J1294" s="13">
        <f t="shared" si="46"/>
        <v>240341.28000000003</v>
      </c>
    </row>
    <row r="1295" spans="1:10" x14ac:dyDescent="0.25">
      <c r="A1295" s="10">
        <v>42691</v>
      </c>
      <c r="B1295" s="11" t="s">
        <v>8</v>
      </c>
      <c r="C1295" s="11" t="s">
        <v>5</v>
      </c>
      <c r="D1295" s="16" t="str">
        <f>HYPERLINK("https://freddywills.com/pick/94/ark-st-8-5.html", "ARK ST +8.5")</f>
        <v>ARK ST +8.5</v>
      </c>
      <c r="E1295" s="11">
        <v>3.3</v>
      </c>
      <c r="F1295" s="11">
        <v>-1.1000000000000001</v>
      </c>
      <c r="G1295" s="11" t="s">
        <v>4</v>
      </c>
      <c r="H1295" s="13">
        <v>3000</v>
      </c>
      <c r="I1295" s="14">
        <f t="shared" si="45"/>
        <v>-0.23239999999999986</v>
      </c>
      <c r="J1295" s="13">
        <f t="shared" si="46"/>
        <v>243641.28000000003</v>
      </c>
    </row>
    <row r="1296" spans="1:10" x14ac:dyDescent="0.25">
      <c r="A1296" s="10">
        <v>42691</v>
      </c>
      <c r="B1296" s="11" t="s">
        <v>8</v>
      </c>
      <c r="C1296" s="11" t="s">
        <v>5</v>
      </c>
      <c r="D1296" s="16" t="str">
        <f>HYPERLINK("https://freddywills.com/pick/95/duke-7-5.html", "DUKE +7.5")</f>
        <v>DUKE +7.5</v>
      </c>
      <c r="E1296" s="11">
        <v>1.1000000000000001</v>
      </c>
      <c r="F1296" s="11">
        <v>-1.1000000000000001</v>
      </c>
      <c r="G1296" s="11" t="s">
        <v>6</v>
      </c>
      <c r="H1296" s="13">
        <v>-1100</v>
      </c>
      <c r="I1296" s="14">
        <f t="shared" si="45"/>
        <v>-0.26239999999999986</v>
      </c>
      <c r="J1296" s="13">
        <f t="shared" si="46"/>
        <v>240641.28000000003</v>
      </c>
    </row>
    <row r="1297" spans="1:10" x14ac:dyDescent="0.25">
      <c r="A1297" s="10">
        <v>42690</v>
      </c>
      <c r="B1297" s="11" t="s">
        <v>8</v>
      </c>
      <c r="C1297" s="11" t="s">
        <v>5</v>
      </c>
      <c r="D1297" s="16" t="str">
        <f>HYPERLINK("https://freddywills.com/pick/96/northern-illinois-pk.html", "Northern Illinois pk")</f>
        <v>Northern Illinois pk</v>
      </c>
      <c r="E1297" s="11">
        <v>3.3</v>
      </c>
      <c r="F1297" s="11">
        <v>-1.1000000000000001</v>
      </c>
      <c r="G1297" s="11" t="s">
        <v>4</v>
      </c>
      <c r="H1297" s="13">
        <v>3000</v>
      </c>
      <c r="I1297" s="14">
        <f t="shared" si="45"/>
        <v>-0.25139999999999985</v>
      </c>
      <c r="J1297" s="13">
        <f t="shared" si="46"/>
        <v>241741.28000000003</v>
      </c>
    </row>
    <row r="1298" spans="1:10" x14ac:dyDescent="0.25">
      <c r="A1298" s="10">
        <v>42688</v>
      </c>
      <c r="B1298" s="11" t="s">
        <v>2</v>
      </c>
      <c r="C1298" s="11" t="s">
        <v>5</v>
      </c>
      <c r="D1298" s="16" t="str">
        <f>HYPERLINK("https://freddywills.com/pick/97/bears-2.html", "Bears -2")</f>
        <v>Bears -2</v>
      </c>
      <c r="E1298" s="11">
        <v>2.2000000000000002</v>
      </c>
      <c r="F1298" s="11">
        <v>-1.1000000000000001</v>
      </c>
      <c r="G1298" s="11" t="s">
        <v>6</v>
      </c>
      <c r="H1298" s="13">
        <v>-2200</v>
      </c>
      <c r="I1298" s="14">
        <f t="shared" si="45"/>
        <v>-0.28139999999999982</v>
      </c>
      <c r="J1298" s="13">
        <f t="shared" si="46"/>
        <v>238741.28000000003</v>
      </c>
    </row>
    <row r="1299" spans="1:10" x14ac:dyDescent="0.25">
      <c r="A1299" s="10">
        <v>42687</v>
      </c>
      <c r="B1299" s="11" t="s">
        <v>2</v>
      </c>
      <c r="C1299" s="11" t="s">
        <v>18</v>
      </c>
      <c r="D1299" s="16" t="str">
        <f>HYPERLINK("https://freddywills.com/pick/98/texans-120.html", "TEXANS +120")</f>
        <v>TEXANS +120</v>
      </c>
      <c r="E1299" s="11">
        <v>5.5</v>
      </c>
      <c r="F1299" s="11">
        <v>1.2</v>
      </c>
      <c r="G1299" s="11" t="s">
        <v>4</v>
      </c>
      <c r="H1299" s="13">
        <v>6600</v>
      </c>
      <c r="I1299" s="14">
        <f t="shared" si="45"/>
        <v>-0.2593999999999998</v>
      </c>
      <c r="J1299" s="13">
        <f t="shared" si="46"/>
        <v>240941.28000000003</v>
      </c>
    </row>
    <row r="1300" spans="1:10" x14ac:dyDescent="0.25">
      <c r="A1300" s="10">
        <v>42687</v>
      </c>
      <c r="B1300" s="11" t="s">
        <v>2</v>
      </c>
      <c r="C1300" s="11" t="s">
        <v>18</v>
      </c>
      <c r="D1300" s="16" t="str">
        <f>HYPERLINK("https://freddywills.com/pick/99/steelers-3-105.html", "Steelers -3 -105")</f>
        <v>Steelers -3 -105</v>
      </c>
      <c r="E1300" s="11">
        <v>3</v>
      </c>
      <c r="F1300" s="11">
        <v>-1.05</v>
      </c>
      <c r="G1300" s="11" t="s">
        <v>6</v>
      </c>
      <c r="H1300" s="13">
        <v>-3000</v>
      </c>
      <c r="I1300" s="14">
        <f t="shared" si="45"/>
        <v>-0.3253999999999998</v>
      </c>
      <c r="J1300" s="13">
        <f t="shared" si="46"/>
        <v>234341.28000000003</v>
      </c>
    </row>
    <row r="1301" spans="1:10" x14ac:dyDescent="0.25">
      <c r="A1301" s="10">
        <v>42686</v>
      </c>
      <c r="B1301" s="11" t="s">
        <v>8</v>
      </c>
      <c r="C1301" s="11" t="s">
        <v>5</v>
      </c>
      <c r="D1301" s="16" t="str">
        <f>HYPERLINK("https://freddywills.com/pick/100/navy-2.html", "Navy -2")</f>
        <v>Navy -2</v>
      </c>
      <c r="E1301" s="11">
        <v>1.1000000000000001</v>
      </c>
      <c r="F1301" s="11">
        <v>-1.1000000000000001</v>
      </c>
      <c r="G1301" s="11" t="s">
        <v>9</v>
      </c>
      <c r="H1301" s="13">
        <v>0</v>
      </c>
      <c r="I1301" s="14">
        <f t="shared" si="45"/>
        <v>-0.29539999999999977</v>
      </c>
      <c r="J1301" s="13">
        <f t="shared" si="46"/>
        <v>237341.28000000003</v>
      </c>
    </row>
    <row r="1302" spans="1:10" x14ac:dyDescent="0.25">
      <c r="A1302" s="10">
        <v>42686</v>
      </c>
      <c r="B1302" s="11" t="s">
        <v>8</v>
      </c>
      <c r="C1302" s="11" t="s">
        <v>5</v>
      </c>
      <c r="D1302" s="16" t="str">
        <f>HYPERLINK("https://freddywills.com/pick/101/south-florida-3.html", "South Florida -3")</f>
        <v>South Florida -3</v>
      </c>
      <c r="E1302" s="11">
        <v>3.3</v>
      </c>
      <c r="F1302" s="11">
        <v>-1.1000000000000001</v>
      </c>
      <c r="G1302" s="11" t="s">
        <v>4</v>
      </c>
      <c r="H1302" s="13">
        <v>3000</v>
      </c>
      <c r="I1302" s="14">
        <f t="shared" si="45"/>
        <v>-0.29539999999999977</v>
      </c>
      <c r="J1302" s="13">
        <f t="shared" si="46"/>
        <v>237341.28000000003</v>
      </c>
    </row>
    <row r="1303" spans="1:10" x14ac:dyDescent="0.25">
      <c r="A1303" s="10">
        <v>42686</v>
      </c>
      <c r="B1303" s="11" t="s">
        <v>8</v>
      </c>
      <c r="C1303" s="11" t="s">
        <v>7</v>
      </c>
      <c r="D1303" s="16" t="str">
        <f>HYPERLINK("https://freddywills.com/pick/102/arkansas-7.html", "ARKANSAS +7")</f>
        <v>ARKANSAS +7</v>
      </c>
      <c r="E1303" s="11">
        <v>5.5</v>
      </c>
      <c r="F1303" s="11">
        <v>-1.1000000000000001</v>
      </c>
      <c r="G1303" s="11" t="s">
        <v>6</v>
      </c>
      <c r="H1303" s="13">
        <v>-5500</v>
      </c>
      <c r="I1303" s="14">
        <f t="shared" si="45"/>
        <v>-0.3253999999999998</v>
      </c>
      <c r="J1303" s="13">
        <f t="shared" si="46"/>
        <v>234341.28000000003</v>
      </c>
    </row>
    <row r="1304" spans="1:10" x14ac:dyDescent="0.25">
      <c r="A1304" s="10">
        <v>42686</v>
      </c>
      <c r="B1304" s="11" t="s">
        <v>8</v>
      </c>
      <c r="C1304" s="11" t="s">
        <v>10</v>
      </c>
      <c r="D1304" s="16" t="str">
        <f>HYPERLINK("https://freddywills.com/pick/103/app-st-7-5-nebraska-0-5.html", "APP ST +7.5 / NEBRASKA -0.5")</f>
        <v>APP ST +7.5 / NEBRASKA -0.5</v>
      </c>
      <c r="E1304" s="11">
        <v>4.4000000000000004</v>
      </c>
      <c r="F1304" s="11">
        <v>-1.1000000000000001</v>
      </c>
      <c r="G1304" s="11" t="s">
        <v>4</v>
      </c>
      <c r="H1304" s="13">
        <v>4000</v>
      </c>
      <c r="I1304" s="14">
        <f t="shared" si="45"/>
        <v>-0.27039999999999981</v>
      </c>
      <c r="J1304" s="13">
        <f t="shared" si="46"/>
        <v>239841.28000000003</v>
      </c>
    </row>
    <row r="1305" spans="1:10" x14ac:dyDescent="0.25">
      <c r="A1305" s="10">
        <v>42686</v>
      </c>
      <c r="B1305" s="11" t="s">
        <v>8</v>
      </c>
      <c r="C1305" s="11" t="s">
        <v>5</v>
      </c>
      <c r="D1305" s="16" t="str">
        <f>HYPERLINK("https://freddywills.com/pick/104/tulane-25.html", "TULANE +25")</f>
        <v>TULANE +25</v>
      </c>
      <c r="E1305" s="11">
        <v>2.2000000000000002</v>
      </c>
      <c r="F1305" s="11">
        <v>-1.1000000000000001</v>
      </c>
      <c r="G1305" s="11" t="s">
        <v>4</v>
      </c>
      <c r="H1305" s="13">
        <v>2000</v>
      </c>
      <c r="I1305" s="14">
        <f t="shared" si="45"/>
        <v>-0.31039999999999979</v>
      </c>
      <c r="J1305" s="13">
        <f t="shared" si="46"/>
        <v>235841.28000000003</v>
      </c>
    </row>
    <row r="1306" spans="1:10" x14ac:dyDescent="0.25">
      <c r="A1306" s="10">
        <v>42685</v>
      </c>
      <c r="B1306" s="11" t="s">
        <v>8</v>
      </c>
      <c r="C1306" s="11" t="s">
        <v>5</v>
      </c>
      <c r="D1306" s="16" t="str">
        <f>HYPERLINK("https://freddywills.com/pick/105/bc-21.html", "BC +21")</f>
        <v>BC +21</v>
      </c>
      <c r="E1306" s="11">
        <v>3.3</v>
      </c>
      <c r="F1306" s="11">
        <v>-1.1000000000000001</v>
      </c>
      <c r="G1306" s="11" t="s">
        <v>6</v>
      </c>
      <c r="H1306" s="13">
        <v>-3300</v>
      </c>
      <c r="I1306" s="14">
        <f t="shared" si="45"/>
        <v>-0.3303999999999998</v>
      </c>
      <c r="J1306" s="13">
        <f t="shared" si="46"/>
        <v>233841.28000000003</v>
      </c>
    </row>
    <row r="1307" spans="1:10" x14ac:dyDescent="0.25">
      <c r="A1307" s="10">
        <v>42679</v>
      </c>
      <c r="B1307" s="11" t="s">
        <v>8</v>
      </c>
      <c r="C1307" s="11" t="s">
        <v>5</v>
      </c>
      <c r="D1307" s="16" t="str">
        <f>HYPERLINK("https://freddywills.com/pick/106/iowa-7-5.html", "IOWA +7.5")</f>
        <v>IOWA +7.5</v>
      </c>
      <c r="E1307" s="11">
        <v>5.5</v>
      </c>
      <c r="F1307" s="11">
        <v>-1.1000000000000001</v>
      </c>
      <c r="G1307" s="11" t="s">
        <v>6</v>
      </c>
      <c r="H1307" s="13">
        <v>-5500</v>
      </c>
      <c r="I1307" s="14">
        <f t="shared" si="45"/>
        <v>-0.29739999999999978</v>
      </c>
      <c r="J1307" s="13">
        <f t="shared" si="46"/>
        <v>237141.28000000003</v>
      </c>
    </row>
    <row r="1308" spans="1:10" x14ac:dyDescent="0.25">
      <c r="A1308" s="10">
        <v>42679</v>
      </c>
      <c r="B1308" s="11" t="s">
        <v>8</v>
      </c>
      <c r="C1308" s="11" t="s">
        <v>10</v>
      </c>
      <c r="D1308" s="16" t="str">
        <f>HYPERLINK("https://freddywills.com/pick/107/georgia-4-northwestern-12.html", "Georgia +4 / Northwestern +12")</f>
        <v>Georgia +4 / Northwestern +12</v>
      </c>
      <c r="E1308" s="11">
        <v>4.4000000000000004</v>
      </c>
      <c r="F1308" s="11">
        <v>-1.1000000000000001</v>
      </c>
      <c r="G1308" s="11" t="s">
        <v>6</v>
      </c>
      <c r="H1308" s="13">
        <v>-4400</v>
      </c>
      <c r="I1308" s="14">
        <f t="shared" si="45"/>
        <v>-0.24239999999999978</v>
      </c>
      <c r="J1308" s="13">
        <f t="shared" si="46"/>
        <v>242641.28000000003</v>
      </c>
    </row>
    <row r="1309" spans="1:10" x14ac:dyDescent="0.25">
      <c r="A1309" s="10">
        <v>42679</v>
      </c>
      <c r="B1309" s="11" t="s">
        <v>8</v>
      </c>
      <c r="C1309" s="11" t="s">
        <v>18</v>
      </c>
      <c r="D1309" s="16" t="str">
        <f>HYPERLINK("https://freddywills.com/pick/108/nc-state-189.html", "NC STATE +189")</f>
        <v>NC STATE +189</v>
      </c>
      <c r="E1309" s="11">
        <v>3</v>
      </c>
      <c r="F1309" s="11">
        <v>1.89</v>
      </c>
      <c r="G1309" s="11" t="s">
        <v>6</v>
      </c>
      <c r="H1309" s="13">
        <v>-3000</v>
      </c>
      <c r="I1309" s="14">
        <f t="shared" si="45"/>
        <v>-0.1983999999999998</v>
      </c>
      <c r="J1309" s="13">
        <f t="shared" si="46"/>
        <v>247041.28000000003</v>
      </c>
    </row>
    <row r="1310" spans="1:10" x14ac:dyDescent="0.25">
      <c r="A1310" s="10">
        <v>42679</v>
      </c>
      <c r="B1310" s="11" t="s">
        <v>8</v>
      </c>
      <c r="C1310" s="11" t="s">
        <v>5</v>
      </c>
      <c r="D1310" s="16" t="str">
        <f>HYPERLINK("https://freddywills.com/pick/109/tulane-17.html", "TULANE +17")</f>
        <v>TULANE +17</v>
      </c>
      <c r="E1310" s="11">
        <v>3.3</v>
      </c>
      <c r="F1310" s="11">
        <v>-1.1000000000000001</v>
      </c>
      <c r="G1310" s="11" t="s">
        <v>6</v>
      </c>
      <c r="H1310" s="13">
        <v>-3300</v>
      </c>
      <c r="I1310" s="14">
        <f t="shared" si="45"/>
        <v>-0.1683999999999998</v>
      </c>
      <c r="J1310" s="13">
        <f t="shared" si="46"/>
        <v>250041.28000000003</v>
      </c>
    </row>
    <row r="1311" spans="1:10" x14ac:dyDescent="0.25">
      <c r="A1311" s="10">
        <v>42679</v>
      </c>
      <c r="B1311" s="11" t="s">
        <v>8</v>
      </c>
      <c r="C1311" s="11" t="s">
        <v>5</v>
      </c>
      <c r="D1311" s="16" t="str">
        <f>HYPERLINK("https://freddywills.com/pick/110/lsu-7-5.html", "LSU +7.5")</f>
        <v>LSU +7.5</v>
      </c>
      <c r="E1311" s="11">
        <v>2.2000000000000002</v>
      </c>
      <c r="F1311" s="11">
        <v>-1.1000000000000001</v>
      </c>
      <c r="G1311" s="11" t="s">
        <v>6</v>
      </c>
      <c r="H1311" s="13">
        <v>-2200</v>
      </c>
      <c r="I1311" s="14">
        <f t="shared" si="45"/>
        <v>-0.1353999999999998</v>
      </c>
      <c r="J1311" s="13">
        <f t="shared" si="46"/>
        <v>253341.28000000003</v>
      </c>
    </row>
    <row r="1312" spans="1:10" x14ac:dyDescent="0.25">
      <c r="A1312" s="10">
        <v>42679</v>
      </c>
      <c r="B1312" s="11" t="s">
        <v>8</v>
      </c>
      <c r="C1312" s="11" t="s">
        <v>5</v>
      </c>
      <c r="D1312" s="16" t="str">
        <f>HYPERLINK("https://freddywills.com/pick/111/arkansas-4.html", "Arkansas +4")</f>
        <v>Arkansas +4</v>
      </c>
      <c r="E1312" s="11">
        <v>4.4000000000000004</v>
      </c>
      <c r="F1312" s="11">
        <v>-1.1000000000000001</v>
      </c>
      <c r="G1312" s="11" t="s">
        <v>4</v>
      </c>
      <c r="H1312" s="13">
        <v>4000</v>
      </c>
      <c r="I1312" s="14">
        <f t="shared" si="45"/>
        <v>-0.11339999999999981</v>
      </c>
      <c r="J1312" s="13">
        <f t="shared" si="46"/>
        <v>255541.28000000003</v>
      </c>
    </row>
    <row r="1313" spans="1:10" x14ac:dyDescent="0.25">
      <c r="A1313" s="10">
        <v>42679</v>
      </c>
      <c r="B1313" s="11" t="s">
        <v>8</v>
      </c>
      <c r="C1313" s="11" t="s">
        <v>5</v>
      </c>
      <c r="D1313" s="16" t="str">
        <f>HYPERLINK("https://freddywills.com/pick/112/kansas-state-3.html", "KANSAS STATE -3")</f>
        <v>KANSAS STATE -3</v>
      </c>
      <c r="E1313" s="11">
        <v>3</v>
      </c>
      <c r="F1313" s="11">
        <v>1.05</v>
      </c>
      <c r="G1313" s="11" t="s">
        <v>6</v>
      </c>
      <c r="H1313" s="13">
        <v>-3000</v>
      </c>
      <c r="I1313" s="14">
        <f t="shared" si="45"/>
        <v>-0.15339999999999981</v>
      </c>
      <c r="J1313" s="13">
        <f t="shared" si="46"/>
        <v>251541.28000000003</v>
      </c>
    </row>
    <row r="1314" spans="1:10" x14ac:dyDescent="0.25">
      <c r="A1314" s="10">
        <v>42679</v>
      </c>
      <c r="B1314" s="11" t="s">
        <v>8</v>
      </c>
      <c r="C1314" s="11" t="s">
        <v>5</v>
      </c>
      <c r="D1314" s="16" t="str">
        <f>HYPERLINK("https://freddywills.com/pick/113/north-carolina-10.html", "North Carolina -10")</f>
        <v>North Carolina -10</v>
      </c>
      <c r="E1314" s="11">
        <v>1.1000000000000001</v>
      </c>
      <c r="F1314" s="11">
        <v>-1.05</v>
      </c>
      <c r="G1314" s="11" t="s">
        <v>4</v>
      </c>
      <c r="H1314" s="13">
        <v>1048</v>
      </c>
      <c r="I1314" s="14">
        <f t="shared" si="45"/>
        <v>-0.12339999999999983</v>
      </c>
      <c r="J1314" s="13">
        <f t="shared" si="46"/>
        <v>254541.28000000003</v>
      </c>
    </row>
    <row r="1315" spans="1:10" x14ac:dyDescent="0.25">
      <c r="A1315" s="10">
        <v>42679</v>
      </c>
      <c r="B1315" s="11" t="s">
        <v>8</v>
      </c>
      <c r="C1315" s="11" t="s">
        <v>18</v>
      </c>
      <c r="D1315" s="16" t="str">
        <f>HYPERLINK("https://freddywills.com/pick/114/missouri-220.html", "Missouri +220")</f>
        <v>Missouri +220</v>
      </c>
      <c r="E1315" s="11">
        <v>2</v>
      </c>
      <c r="F1315" s="11">
        <v>2.2000000000000002</v>
      </c>
      <c r="G1315" s="11" t="s">
        <v>6</v>
      </c>
      <c r="H1315" s="13">
        <v>-2000</v>
      </c>
      <c r="I1315" s="14">
        <f t="shared" si="45"/>
        <v>-0.13387999999999983</v>
      </c>
      <c r="J1315" s="13">
        <f t="shared" si="46"/>
        <v>253493.28000000003</v>
      </c>
    </row>
    <row r="1316" spans="1:10" x14ac:dyDescent="0.25">
      <c r="A1316" s="10">
        <v>42679</v>
      </c>
      <c r="B1316" s="11" t="s">
        <v>8</v>
      </c>
      <c r="C1316" s="11" t="s">
        <v>5</v>
      </c>
      <c r="D1316" s="16" t="str">
        <f>HYPERLINK("https://freddywills.com/pick/115/syracuse-28.html", "Syracuse +28")</f>
        <v>Syracuse +28</v>
      </c>
      <c r="E1316" s="11">
        <v>2.2000000000000002</v>
      </c>
      <c r="F1316" s="11">
        <v>-1.1000000000000001</v>
      </c>
      <c r="G1316" s="11" t="s">
        <v>6</v>
      </c>
      <c r="H1316" s="13">
        <v>-2200</v>
      </c>
      <c r="I1316" s="14">
        <f t="shared" si="45"/>
        <v>-0.11387999999999984</v>
      </c>
      <c r="J1316" s="13">
        <f t="shared" si="46"/>
        <v>255493.28000000003</v>
      </c>
    </row>
    <row r="1317" spans="1:10" x14ac:dyDescent="0.25">
      <c r="A1317" s="10">
        <v>42679</v>
      </c>
      <c r="B1317" s="11" t="s">
        <v>8</v>
      </c>
      <c r="C1317" s="11" t="s">
        <v>18</v>
      </c>
      <c r="D1317" s="16" t="str">
        <f>HYPERLINK("https://freddywills.com/pick/116/iowa-255.html", "IOWA +255")</f>
        <v>IOWA +255</v>
      </c>
      <c r="E1317" s="11">
        <v>1</v>
      </c>
      <c r="F1317" s="11">
        <v>2.5499999999999998</v>
      </c>
      <c r="G1317" s="11" t="s">
        <v>6</v>
      </c>
      <c r="H1317" s="13">
        <v>-1000</v>
      </c>
      <c r="I1317" s="14">
        <f t="shared" si="45"/>
        <v>-9.1879999999999837E-2</v>
      </c>
      <c r="J1317" s="13">
        <f t="shared" si="46"/>
        <v>257693.28000000003</v>
      </c>
    </row>
    <row r="1318" spans="1:10" x14ac:dyDescent="0.25">
      <c r="A1318" s="10">
        <v>42677</v>
      </c>
      <c r="B1318" s="11" t="s">
        <v>8</v>
      </c>
      <c r="C1318" s="11" t="s">
        <v>5</v>
      </c>
      <c r="D1318" s="16" t="str">
        <f>HYPERLINK("https://freddywills.com/pick/117/iowa-state-21.html", "Iowa State +21")</f>
        <v>Iowa State +21</v>
      </c>
      <c r="E1318" s="11">
        <v>2</v>
      </c>
      <c r="F1318" s="11">
        <v>-1.1499999999999999</v>
      </c>
      <c r="G1318" s="11" t="s">
        <v>4</v>
      </c>
      <c r="H1318" s="13">
        <v>1739</v>
      </c>
      <c r="I1318" s="14">
        <f t="shared" si="45"/>
        <v>-8.1879999999999842E-2</v>
      </c>
      <c r="J1318" s="13">
        <f t="shared" si="46"/>
        <v>258693.28000000003</v>
      </c>
    </row>
    <row r="1319" spans="1:10" x14ac:dyDescent="0.25">
      <c r="A1319" s="10">
        <v>42677</v>
      </c>
      <c r="B1319" s="11" t="s">
        <v>8</v>
      </c>
      <c r="C1319" s="11" t="s">
        <v>7</v>
      </c>
      <c r="D1319" s="16" t="str">
        <f>HYPERLINK("https://freddywills.com/pick/118/ucla-col-under-58.html", "UCLA / Col Under 58")</f>
        <v>UCLA / Col Under 58</v>
      </c>
      <c r="E1319" s="11">
        <v>2.2000000000000002</v>
      </c>
      <c r="F1319" s="11">
        <v>-1.1000000000000001</v>
      </c>
      <c r="G1319" s="11" t="s">
        <v>4</v>
      </c>
      <c r="H1319" s="13">
        <v>2000</v>
      </c>
      <c r="I1319" s="14">
        <f t="shared" si="45"/>
        <v>-9.9269999999999844E-2</v>
      </c>
      <c r="J1319" s="13">
        <f t="shared" si="46"/>
        <v>256954.28000000003</v>
      </c>
    </row>
    <row r="1320" spans="1:10" x14ac:dyDescent="0.25">
      <c r="A1320" s="10">
        <v>42673</v>
      </c>
      <c r="B1320" s="11" t="s">
        <v>2</v>
      </c>
      <c r="C1320" s="11" t="s">
        <v>18</v>
      </c>
      <c r="D1320" s="16" t="str">
        <f>HYPERLINK("https://freddywills.com/pick/119/saints-105-pod.html", "Saints +105 POD")</f>
        <v>Saints +105 POD</v>
      </c>
      <c r="E1320" s="11">
        <v>5.5</v>
      </c>
      <c r="F1320" s="11">
        <v>1.05</v>
      </c>
      <c r="G1320" s="11" t="s">
        <v>4</v>
      </c>
      <c r="H1320" s="13">
        <v>5775</v>
      </c>
      <c r="I1320" s="14">
        <f t="shared" si="45"/>
        <v>-0.11926999999999985</v>
      </c>
      <c r="J1320" s="13">
        <f t="shared" si="46"/>
        <v>254954.28000000003</v>
      </c>
    </row>
    <row r="1321" spans="1:10" x14ac:dyDescent="0.25">
      <c r="A1321" s="10">
        <v>42673</v>
      </c>
      <c r="B1321" s="11" t="s">
        <v>2</v>
      </c>
      <c r="C1321" s="11" t="s">
        <v>18</v>
      </c>
      <c r="D1321" s="16" t="str">
        <f>HYPERLINK("https://freddywills.com/pick/120/colts-138.html", "Colts +138")</f>
        <v>Colts +138</v>
      </c>
      <c r="E1321" s="11">
        <v>2.5</v>
      </c>
      <c r="F1321" s="11">
        <v>1.38</v>
      </c>
      <c r="G1321" s="11" t="s">
        <v>6</v>
      </c>
      <c r="H1321" s="13">
        <v>-2500</v>
      </c>
      <c r="I1321" s="14">
        <f t="shared" si="45"/>
        <v>-0.17701999999999984</v>
      </c>
      <c r="J1321" s="13">
        <f t="shared" si="46"/>
        <v>249179.28000000003</v>
      </c>
    </row>
    <row r="1322" spans="1:10" x14ac:dyDescent="0.25">
      <c r="A1322" s="10">
        <v>42673</v>
      </c>
      <c r="B1322" s="11" t="s">
        <v>2</v>
      </c>
      <c r="C1322" s="11" t="s">
        <v>18</v>
      </c>
      <c r="D1322" s="16" t="str">
        <f>HYPERLINK("https://freddywills.com/pick/121/tampa-120.html", "tampa +120")</f>
        <v>tampa +120</v>
      </c>
      <c r="E1322" s="11">
        <v>2.5</v>
      </c>
      <c r="F1322" s="11">
        <v>1.2</v>
      </c>
      <c r="G1322" s="11" t="s">
        <v>6</v>
      </c>
      <c r="H1322" s="13">
        <v>-2500</v>
      </c>
      <c r="I1322" s="14">
        <f t="shared" si="45"/>
        <v>-0.15201999999999985</v>
      </c>
      <c r="J1322" s="13">
        <f t="shared" si="46"/>
        <v>251679.28000000003</v>
      </c>
    </row>
    <row r="1323" spans="1:10" x14ac:dyDescent="0.25">
      <c r="A1323" s="10">
        <v>42672</v>
      </c>
      <c r="B1323" s="11" t="s">
        <v>8</v>
      </c>
      <c r="C1323" s="11" t="s">
        <v>5</v>
      </c>
      <c r="D1323" s="16" t="str">
        <f>HYPERLINK("https://freddywills.com/pick/122/cinci-7-5-3-3-play.html", "Cinci +7.5 3.3% play")</f>
        <v>Cinci +7.5 3.3% play</v>
      </c>
      <c r="E1323" s="11">
        <v>3.3</v>
      </c>
      <c r="F1323" s="11">
        <v>-1.1000000000000001</v>
      </c>
      <c r="G1323" s="11" t="s">
        <v>6</v>
      </c>
      <c r="H1323" s="13">
        <v>-3300</v>
      </c>
      <c r="I1323" s="14">
        <f t="shared" si="45"/>
        <v>-0.12701999999999986</v>
      </c>
      <c r="J1323" s="13">
        <f t="shared" si="46"/>
        <v>254179.28000000003</v>
      </c>
    </row>
    <row r="1324" spans="1:10" x14ac:dyDescent="0.25">
      <c r="A1324" s="10">
        <v>42672</v>
      </c>
      <c r="B1324" s="11" t="s">
        <v>8</v>
      </c>
      <c r="C1324" s="11" t="s">
        <v>5</v>
      </c>
      <c r="D1324" s="16" t="str">
        <f>HYPERLINK("https://freddywills.com/pick/123/miami-1-5-5-5-ncaaf-pod.html", "Miami -1.5 5.5% NCAAF POD")</f>
        <v>Miami -1.5 5.5% NCAAF POD</v>
      </c>
      <c r="E1324" s="11">
        <v>5.5</v>
      </c>
      <c r="F1324" s="11">
        <v>-1.1000000000000001</v>
      </c>
      <c r="G1324" s="11" t="s">
        <v>6</v>
      </c>
      <c r="H1324" s="13">
        <v>-5500</v>
      </c>
      <c r="I1324" s="14">
        <f t="shared" si="45"/>
        <v>-9.4019999999999854E-2</v>
      </c>
      <c r="J1324" s="13">
        <f t="shared" si="46"/>
        <v>257479.28000000003</v>
      </c>
    </row>
    <row r="1325" spans="1:10" x14ac:dyDescent="0.25">
      <c r="A1325" s="10">
        <v>42672</v>
      </c>
      <c r="B1325" s="11" t="s">
        <v>8</v>
      </c>
      <c r="C1325" s="11" t="s">
        <v>10</v>
      </c>
      <c r="D1325" s="16" t="str">
        <f>HYPERLINK("https://freddywills.com/pick/124/ole-miss-10-5-nebraska-15-5-4-4-teaser.html", "Ole MIss +10.5 / Nebraska +15.5 4.4% Teaser")</f>
        <v>Ole MIss +10.5 / Nebraska +15.5 4.4% Teaser</v>
      </c>
      <c r="E1325" s="11">
        <v>4.4000000000000004</v>
      </c>
      <c r="F1325" s="11">
        <v>-1.1000000000000001</v>
      </c>
      <c r="G1325" s="11" t="s">
        <v>6</v>
      </c>
      <c r="H1325" s="13">
        <v>-4400</v>
      </c>
      <c r="I1325" s="14">
        <f t="shared" si="45"/>
        <v>-3.9019999999999853E-2</v>
      </c>
      <c r="J1325" s="13">
        <f t="shared" si="46"/>
        <v>262979.28000000003</v>
      </c>
    </row>
    <row r="1326" spans="1:10" x14ac:dyDescent="0.25">
      <c r="A1326" s="10">
        <v>42672</v>
      </c>
      <c r="B1326" s="11" t="s">
        <v>8</v>
      </c>
      <c r="C1326" s="11" t="s">
        <v>18</v>
      </c>
      <c r="D1326" s="16" t="str">
        <f>HYPERLINK("https://freddywills.com/pick/125/texas-155-2-5-play.html", "TEXAS +155 2.5% PLAY")</f>
        <v>TEXAS +155 2.5% PLAY</v>
      </c>
      <c r="E1326" s="11">
        <v>2.5</v>
      </c>
      <c r="F1326" s="11">
        <v>1.55</v>
      </c>
      <c r="G1326" s="11" t="s">
        <v>4</v>
      </c>
      <c r="H1326" s="13">
        <v>3875</v>
      </c>
      <c r="I1326" s="14">
        <f t="shared" si="45"/>
        <v>4.980000000000144E-3</v>
      </c>
      <c r="J1326" s="13">
        <f t="shared" si="46"/>
        <v>267379.28000000003</v>
      </c>
    </row>
    <row r="1327" spans="1:10" x14ac:dyDescent="0.25">
      <c r="A1327" s="10">
        <v>42672</v>
      </c>
      <c r="B1327" s="11" t="s">
        <v>8</v>
      </c>
      <c r="C1327" s="11" t="s">
        <v>5</v>
      </c>
      <c r="D1327" s="16" t="str">
        <f>HYPERLINK("https://freddywills.com/pick/126/michigan-state-24-5-3-3.html", "Michigan State +24.5 3.3%")</f>
        <v>Michigan State +24.5 3.3%</v>
      </c>
      <c r="E1327" s="11">
        <v>3.3</v>
      </c>
      <c r="F1327" s="11">
        <v>-1.1000000000000001</v>
      </c>
      <c r="G1327" s="11" t="s">
        <v>4</v>
      </c>
      <c r="H1327" s="13">
        <v>3000</v>
      </c>
      <c r="I1327" s="14">
        <f t="shared" si="45"/>
        <v>-3.3769999999999856E-2</v>
      </c>
      <c r="J1327" s="13">
        <f t="shared" si="46"/>
        <v>263504.28000000003</v>
      </c>
    </row>
    <row r="1328" spans="1:10" x14ac:dyDescent="0.25">
      <c r="A1328" s="10">
        <v>42672</v>
      </c>
      <c r="B1328" s="11" t="s">
        <v>8</v>
      </c>
      <c r="C1328" s="11" t="s">
        <v>5</v>
      </c>
      <c r="D1328" s="16" t="str">
        <f>HYPERLINK("https://freddywills.com/pick/127/connecticut-7-2-2-play.html", "Connecticut +7 2.2% play")</f>
        <v>Connecticut +7 2.2% play</v>
      </c>
      <c r="E1328" s="11">
        <v>2.2000000000000002</v>
      </c>
      <c r="F1328" s="11">
        <v>-1.1000000000000001</v>
      </c>
      <c r="G1328" s="11" t="s">
        <v>6</v>
      </c>
      <c r="H1328" s="13">
        <v>-2200</v>
      </c>
      <c r="I1328" s="14">
        <f t="shared" si="45"/>
        <v>-6.3769999999999855E-2</v>
      </c>
      <c r="J1328" s="13">
        <f t="shared" si="46"/>
        <v>260504.28000000003</v>
      </c>
    </row>
    <row r="1329" spans="1:10" x14ac:dyDescent="0.25">
      <c r="A1329" s="10">
        <v>42672</v>
      </c>
      <c r="B1329" s="11" t="s">
        <v>8</v>
      </c>
      <c r="C1329" s="11" t="s">
        <v>7</v>
      </c>
      <c r="D1329" s="16" t="str">
        <f>HYPERLINK("https://freddywills.com/pick/128/duke-ga-tech-under-51-3-3-play.html", "DUKE/GA TECH UNDER 51 3.3% PLAY")</f>
        <v>DUKE/GA TECH UNDER 51 3.3% PLAY</v>
      </c>
      <c r="E1329" s="11">
        <v>3.3</v>
      </c>
      <c r="F1329" s="11">
        <v>-1.1000000000000001</v>
      </c>
      <c r="G1329" s="11" t="s">
        <v>6</v>
      </c>
      <c r="H1329" s="13">
        <v>-3300</v>
      </c>
      <c r="I1329" s="14">
        <f t="shared" si="45"/>
        <v>-4.1769999999999863E-2</v>
      </c>
      <c r="J1329" s="13">
        <f t="shared" si="46"/>
        <v>262704.28000000003</v>
      </c>
    </row>
    <row r="1330" spans="1:10" x14ac:dyDescent="0.25">
      <c r="A1330" s="10">
        <v>42672</v>
      </c>
      <c r="B1330" s="11" t="s">
        <v>8</v>
      </c>
      <c r="C1330" s="11" t="s">
        <v>7</v>
      </c>
      <c r="D1330" s="16" t="str">
        <f>HYPERLINK("https://freddywills.com/pick/129/hawaii-new-mexico-over-63-5-2-2-play.html", "Hawaii/New Mexico Over 63.5 2.2% play")</f>
        <v>Hawaii/New Mexico Over 63.5 2.2% play</v>
      </c>
      <c r="E1330" s="11">
        <v>2.2000000000000002</v>
      </c>
      <c r="F1330" s="11">
        <v>-1.1000000000000001</v>
      </c>
      <c r="G1330" s="11" t="s">
        <v>6</v>
      </c>
      <c r="H1330" s="13">
        <v>-2200</v>
      </c>
      <c r="I1330" s="14">
        <f t="shared" ref="I1330:I1393" si="47">(H1330/100000)+I1331</f>
        <v>-8.7699999999998595E-3</v>
      </c>
      <c r="J1330" s="13">
        <f t="shared" ref="J1330:J1393" si="48">H1330+J1331</f>
        <v>266004.28000000003</v>
      </c>
    </row>
    <row r="1331" spans="1:10" x14ac:dyDescent="0.25">
      <c r="A1331" s="10">
        <v>42672</v>
      </c>
      <c r="B1331" s="11" t="s">
        <v>8</v>
      </c>
      <c r="C1331" s="11" t="s">
        <v>18</v>
      </c>
      <c r="D1331" s="16" t="str">
        <f>HYPERLINK("https://freddywills.com/pick/130/mich-st-1475-0-25.html", "Mich St +1475 0.25%")</f>
        <v>Mich St +1475 0.25%</v>
      </c>
      <c r="E1331" s="11">
        <v>0.25</v>
      </c>
      <c r="F1331" s="11">
        <v>14.75</v>
      </c>
      <c r="G1331" s="11" t="s">
        <v>6</v>
      </c>
      <c r="H1331" s="13">
        <v>-250</v>
      </c>
      <c r="I1331" s="14">
        <f t="shared" si="47"/>
        <v>1.3230000000000139E-2</v>
      </c>
      <c r="J1331" s="13">
        <f t="shared" si="48"/>
        <v>268204.28000000003</v>
      </c>
    </row>
    <row r="1332" spans="1:10" x14ac:dyDescent="0.25">
      <c r="A1332" s="10">
        <v>42670</v>
      </c>
      <c r="B1332" s="11" t="s">
        <v>8</v>
      </c>
      <c r="C1332" s="11" t="s">
        <v>5</v>
      </c>
      <c r="D1332" s="16" t="str">
        <f>HYPERLINK("https://freddywills.com/pick/131/ga-southern-6-3-3-play.html", "GA Southern +6 3.3% play")</f>
        <v>GA Southern +6 3.3% play</v>
      </c>
      <c r="E1332" s="11">
        <v>3.3</v>
      </c>
      <c r="F1332" s="11">
        <v>-1.1000000000000001</v>
      </c>
      <c r="G1332" s="11" t="s">
        <v>6</v>
      </c>
      <c r="H1332" s="13">
        <v>-3300</v>
      </c>
      <c r="I1332" s="14">
        <f t="shared" si="47"/>
        <v>1.573000000000014E-2</v>
      </c>
      <c r="J1332" s="13">
        <f t="shared" si="48"/>
        <v>268454.28000000003</v>
      </c>
    </row>
    <row r="1333" spans="1:10" x14ac:dyDescent="0.25">
      <c r="A1333" s="10">
        <v>42670</v>
      </c>
      <c r="B1333" s="11" t="s">
        <v>8</v>
      </c>
      <c r="C1333" s="11" t="s">
        <v>5</v>
      </c>
      <c r="D1333" s="16" t="str">
        <f>HYPERLINK("https://freddywills.com/pick/132/fiu-17-1-1-free-play.html", "FIU +17 1.1% FREE PLAY")</f>
        <v>FIU +17 1.1% FREE PLAY</v>
      </c>
      <c r="E1333" s="11">
        <v>1.1000000000000001</v>
      </c>
      <c r="F1333" s="11">
        <v>-1.1000000000000001</v>
      </c>
      <c r="G1333" s="11" t="s">
        <v>4</v>
      </c>
      <c r="H1333" s="13">
        <v>1000</v>
      </c>
      <c r="I1333" s="14">
        <f t="shared" si="47"/>
        <v>4.8730000000000141E-2</v>
      </c>
      <c r="J1333" s="13">
        <f t="shared" si="48"/>
        <v>271754.28000000003</v>
      </c>
    </row>
    <row r="1334" spans="1:10" x14ac:dyDescent="0.25">
      <c r="A1334" s="10">
        <v>42666</v>
      </c>
      <c r="B1334" s="11" t="s">
        <v>2</v>
      </c>
      <c r="C1334" s="11" t="s">
        <v>18</v>
      </c>
      <c r="D1334" s="16" t="str">
        <f>HYPERLINK("https://freddywills.com/pick/133/dolphins-125.html", "Dolphins +125")</f>
        <v>Dolphins +125</v>
      </c>
      <c r="E1334" s="11">
        <v>5.5</v>
      </c>
      <c r="F1334" s="11">
        <v>1.25</v>
      </c>
      <c r="G1334" s="11" t="s">
        <v>4</v>
      </c>
      <c r="H1334" s="13">
        <v>6875</v>
      </c>
      <c r="I1334" s="14">
        <f t="shared" si="47"/>
        <v>3.8730000000000139E-2</v>
      </c>
      <c r="J1334" s="13">
        <f t="shared" si="48"/>
        <v>270754.28000000003</v>
      </c>
    </row>
    <row r="1335" spans="1:10" x14ac:dyDescent="0.25">
      <c r="A1335" s="10">
        <v>42666</v>
      </c>
      <c r="B1335" s="11" t="s">
        <v>2</v>
      </c>
      <c r="C1335" s="11" t="s">
        <v>7</v>
      </c>
      <c r="D1335" s="16" t="str">
        <f>HYPERLINK("https://freddywills.com/pick/134/giants-rams-u45-4.html", "Giants / Rams U45.4")</f>
        <v>Giants / Rams U45.4</v>
      </c>
      <c r="E1335" s="11">
        <v>3.3</v>
      </c>
      <c r="F1335" s="11">
        <v>-1.1000000000000001</v>
      </c>
      <c r="G1335" s="11" t="s">
        <v>4</v>
      </c>
      <c r="H1335" s="13">
        <v>3000</v>
      </c>
      <c r="I1335" s="14">
        <f t="shared" si="47"/>
        <v>-3.0019999999999866E-2</v>
      </c>
      <c r="J1335" s="13">
        <f t="shared" si="48"/>
        <v>263879.28000000003</v>
      </c>
    </row>
    <row r="1336" spans="1:10" x14ac:dyDescent="0.25">
      <c r="A1336" s="10">
        <v>42666</v>
      </c>
      <c r="B1336" s="11" t="s">
        <v>2</v>
      </c>
      <c r="C1336" s="11" t="s">
        <v>5</v>
      </c>
      <c r="D1336" s="16" t="str">
        <f>HYPERLINK("https://freddywills.com/pick/135/saints-6-5.html", "Saints +6.5")</f>
        <v>Saints +6.5</v>
      </c>
      <c r="E1336" s="11">
        <v>2.2000000000000002</v>
      </c>
      <c r="F1336" s="11">
        <v>-1.1000000000000001</v>
      </c>
      <c r="G1336" s="11" t="s">
        <v>4</v>
      </c>
      <c r="H1336" s="13">
        <v>2000</v>
      </c>
      <c r="I1336" s="14">
        <f t="shared" si="47"/>
        <v>-6.0019999999999865E-2</v>
      </c>
      <c r="J1336" s="13">
        <f t="shared" si="48"/>
        <v>260879.28000000003</v>
      </c>
    </row>
    <row r="1337" spans="1:10" x14ac:dyDescent="0.25">
      <c r="A1337" s="10">
        <v>42666</v>
      </c>
      <c r="B1337" s="11" t="s">
        <v>2</v>
      </c>
      <c r="C1337" s="11" t="s">
        <v>5</v>
      </c>
      <c r="D1337" s="16" t="str">
        <f>HYPERLINK("https://freddywills.com/pick/136/chargers-6.html", "Chargers +6")</f>
        <v>Chargers +6</v>
      </c>
      <c r="E1337" s="11">
        <v>2.2000000000000002</v>
      </c>
      <c r="F1337" s="11">
        <v>-1.1000000000000001</v>
      </c>
      <c r="G1337" s="11" t="s">
        <v>4</v>
      </c>
      <c r="H1337" s="13">
        <v>2000</v>
      </c>
      <c r="I1337" s="14">
        <f t="shared" si="47"/>
        <v>-8.0019999999999869E-2</v>
      </c>
      <c r="J1337" s="13">
        <f t="shared" si="48"/>
        <v>258879.28000000003</v>
      </c>
    </row>
    <row r="1338" spans="1:10" x14ac:dyDescent="0.25">
      <c r="A1338" s="10">
        <v>42665</v>
      </c>
      <c r="B1338" s="11" t="s">
        <v>8</v>
      </c>
      <c r="C1338" s="11" t="s">
        <v>5</v>
      </c>
      <c r="D1338" s="16" t="str">
        <f>HYPERLINK("https://freddywills.com/pick/137/tcu-6-5-5-5-pod.html", "TCU +6.5 5.5% POD")</f>
        <v>TCU +6.5 5.5% POD</v>
      </c>
      <c r="E1338" s="11">
        <v>5.5</v>
      </c>
      <c r="F1338" s="11">
        <v>-1.1000000000000001</v>
      </c>
      <c r="G1338" s="11" t="s">
        <v>6</v>
      </c>
      <c r="H1338" s="13">
        <v>-5500</v>
      </c>
      <c r="I1338" s="14">
        <f t="shared" si="47"/>
        <v>-0.10001999999999987</v>
      </c>
      <c r="J1338" s="13">
        <f t="shared" si="48"/>
        <v>256879.28000000003</v>
      </c>
    </row>
    <row r="1339" spans="1:10" x14ac:dyDescent="0.25">
      <c r="A1339" s="10">
        <v>42665</v>
      </c>
      <c r="B1339" s="11" t="s">
        <v>8</v>
      </c>
      <c r="C1339" s="11" t="s">
        <v>18</v>
      </c>
      <c r="D1339" s="16" t="str">
        <f>HYPERLINK("https://freddywills.com/pick/138/navy-130.html", "Navy +130")</f>
        <v>Navy +130</v>
      </c>
      <c r="E1339" s="11">
        <v>3</v>
      </c>
      <c r="F1339" s="11">
        <v>1.3</v>
      </c>
      <c r="G1339" s="11" t="s">
        <v>4</v>
      </c>
      <c r="H1339" s="13">
        <v>3900</v>
      </c>
      <c r="I1339" s="14">
        <f t="shared" si="47"/>
        <v>-4.5019999999999873E-2</v>
      </c>
      <c r="J1339" s="13">
        <f t="shared" si="48"/>
        <v>262379.28000000003</v>
      </c>
    </row>
    <row r="1340" spans="1:10" x14ac:dyDescent="0.25">
      <c r="A1340" s="10">
        <v>42665</v>
      </c>
      <c r="B1340" s="11" t="s">
        <v>8</v>
      </c>
      <c r="C1340" s="11" t="s">
        <v>10</v>
      </c>
      <c r="D1340" s="16" t="str">
        <f>HYPERLINK("https://freddywills.com/pick/139/lsu-0-5-colorado-8.html", "LSU -0.5 / Colorado +8")</f>
        <v>LSU -0.5 / Colorado +8</v>
      </c>
      <c r="E1340" s="11">
        <v>4.4000000000000004</v>
      </c>
      <c r="F1340" s="11">
        <v>-1.1000000000000001</v>
      </c>
      <c r="G1340" s="11" t="s">
        <v>4</v>
      </c>
      <c r="H1340" s="13">
        <v>4000</v>
      </c>
      <c r="I1340" s="14">
        <f t="shared" si="47"/>
        <v>-8.4019999999999873E-2</v>
      </c>
      <c r="J1340" s="13">
        <f t="shared" si="48"/>
        <v>258479.28000000003</v>
      </c>
    </row>
    <row r="1341" spans="1:10" x14ac:dyDescent="0.25">
      <c r="A1341" s="10">
        <v>42665</v>
      </c>
      <c r="B1341" s="11" t="s">
        <v>8</v>
      </c>
      <c r="C1341" s="11" t="s">
        <v>5</v>
      </c>
      <c r="D1341" s="16" t="str">
        <f>HYPERLINK("https://freddywills.com/pick/140/oregon-st-36-5.html", "Oregon St +36.5")</f>
        <v>Oregon St +36.5</v>
      </c>
      <c r="E1341" s="11">
        <v>2.2000000000000002</v>
      </c>
      <c r="F1341" s="11">
        <v>-1.06</v>
      </c>
      <c r="G1341" s="11" t="s">
        <v>4</v>
      </c>
      <c r="H1341" s="13">
        <v>2075</v>
      </c>
      <c r="I1341" s="14">
        <f t="shared" si="47"/>
        <v>-0.12401999999999987</v>
      </c>
      <c r="J1341" s="13">
        <f t="shared" si="48"/>
        <v>254479.28000000003</v>
      </c>
    </row>
    <row r="1342" spans="1:10" x14ac:dyDescent="0.25">
      <c r="A1342" s="10">
        <v>42665</v>
      </c>
      <c r="B1342" s="11" t="s">
        <v>8</v>
      </c>
      <c r="C1342" s="11" t="s">
        <v>7</v>
      </c>
      <c r="D1342" s="16" t="str">
        <f>HYPERLINK("https://freddywills.com/pick/141/uconn-ucf-under-48.html", "Uconn / UCF Under 48")</f>
        <v>Uconn / UCF Under 48</v>
      </c>
      <c r="E1342" s="11">
        <v>1.1000000000000001</v>
      </c>
      <c r="F1342" s="11">
        <v>-1.1000000000000001</v>
      </c>
      <c r="G1342" s="11" t="s">
        <v>4</v>
      </c>
      <c r="H1342" s="13">
        <v>1000</v>
      </c>
      <c r="I1342" s="14">
        <f t="shared" si="47"/>
        <v>-0.14476999999999987</v>
      </c>
      <c r="J1342" s="13">
        <f t="shared" si="48"/>
        <v>252404.28000000003</v>
      </c>
    </row>
    <row r="1343" spans="1:10" x14ac:dyDescent="0.25">
      <c r="A1343" s="10">
        <v>42665</v>
      </c>
      <c r="B1343" s="11" t="s">
        <v>8</v>
      </c>
      <c r="C1343" s="11" t="s">
        <v>5</v>
      </c>
      <c r="D1343" s="16" t="str">
        <f>HYPERLINK("https://freddywills.com/pick/142/east-carolina-2.html", "East Carolina +2")</f>
        <v>East Carolina +2</v>
      </c>
      <c r="E1343" s="11">
        <v>2.2000000000000002</v>
      </c>
      <c r="F1343" s="11">
        <v>-1.1000000000000001</v>
      </c>
      <c r="G1343" s="11" t="s">
        <v>6</v>
      </c>
      <c r="H1343" s="13">
        <v>-2200</v>
      </c>
      <c r="I1343" s="14">
        <f t="shared" si="47"/>
        <v>-0.15476999999999988</v>
      </c>
      <c r="J1343" s="13">
        <f t="shared" si="48"/>
        <v>251404.28000000003</v>
      </c>
    </row>
    <row r="1344" spans="1:10" x14ac:dyDescent="0.25">
      <c r="A1344" s="10">
        <v>42665</v>
      </c>
      <c r="B1344" s="11" t="s">
        <v>8</v>
      </c>
      <c r="C1344" s="11" t="s">
        <v>5</v>
      </c>
      <c r="D1344" s="16" t="str">
        <f>HYPERLINK("https://freddywills.com/pick/143/hawaii-17.html", "Hawaii +17")</f>
        <v>Hawaii +17</v>
      </c>
      <c r="E1344" s="11">
        <v>3.3</v>
      </c>
      <c r="F1344" s="11">
        <v>-1.1000000000000001</v>
      </c>
      <c r="G1344" s="11" t="s">
        <v>4</v>
      </c>
      <c r="H1344" s="13">
        <v>3000</v>
      </c>
      <c r="I1344" s="14">
        <f t="shared" si="47"/>
        <v>-0.13276999999999989</v>
      </c>
      <c r="J1344" s="13">
        <f t="shared" si="48"/>
        <v>253604.28000000003</v>
      </c>
    </row>
    <row r="1345" spans="1:10" x14ac:dyDescent="0.25">
      <c r="A1345" s="10">
        <v>42665</v>
      </c>
      <c r="B1345" s="11" t="s">
        <v>8</v>
      </c>
      <c r="C1345" s="11" t="s">
        <v>18</v>
      </c>
      <c r="D1345" s="16" t="str">
        <f>HYPERLINK("https://freddywills.com/pick/144/tcu-210.html", "TCU +210")</f>
        <v>TCU +210</v>
      </c>
      <c r="E1345" s="11">
        <v>1</v>
      </c>
      <c r="F1345" s="11">
        <v>2.1</v>
      </c>
      <c r="G1345" s="11" t="s">
        <v>6</v>
      </c>
      <c r="H1345" s="13">
        <v>-1000</v>
      </c>
      <c r="I1345" s="14">
        <f t="shared" si="47"/>
        <v>-0.16276999999999989</v>
      </c>
      <c r="J1345" s="13">
        <f t="shared" si="48"/>
        <v>250604.28000000003</v>
      </c>
    </row>
    <row r="1346" spans="1:10" x14ac:dyDescent="0.25">
      <c r="A1346" s="10">
        <v>42665</v>
      </c>
      <c r="B1346" s="11" t="s">
        <v>8</v>
      </c>
      <c r="C1346" s="11" t="s">
        <v>5</v>
      </c>
      <c r="D1346" s="16" t="str">
        <f>HYPERLINK("https://freddywills.com/pick/145/arizona-state-7-5.html", "Arizona State +7.5")</f>
        <v>Arizona State +7.5</v>
      </c>
      <c r="E1346" s="11">
        <v>3.3</v>
      </c>
      <c r="F1346" s="11">
        <v>-1.1000000000000001</v>
      </c>
      <c r="G1346" s="11" t="s">
        <v>4</v>
      </c>
      <c r="H1346" s="13">
        <v>3000</v>
      </c>
      <c r="I1346" s="14">
        <f t="shared" si="47"/>
        <v>-0.15276999999999988</v>
      </c>
      <c r="J1346" s="13">
        <f t="shared" si="48"/>
        <v>251604.28000000003</v>
      </c>
    </row>
    <row r="1347" spans="1:10" x14ac:dyDescent="0.25">
      <c r="A1347" s="10">
        <v>42664</v>
      </c>
      <c r="B1347" s="11" t="s">
        <v>8</v>
      </c>
      <c r="C1347" s="11" t="s">
        <v>18</v>
      </c>
      <c r="D1347" s="16" t="str">
        <f>HYPERLINK("https://freddywills.com/pick/146/oregon-102.html", "Oregon +102")</f>
        <v>Oregon +102</v>
      </c>
      <c r="E1347" s="11">
        <v>2.5</v>
      </c>
      <c r="F1347" s="11">
        <v>1.02</v>
      </c>
      <c r="G1347" s="11" t="s">
        <v>6</v>
      </c>
      <c r="H1347" s="13">
        <v>-2500</v>
      </c>
      <c r="I1347" s="14">
        <f t="shared" si="47"/>
        <v>-0.18276999999999988</v>
      </c>
      <c r="J1347" s="13">
        <f t="shared" si="48"/>
        <v>248604.28000000003</v>
      </c>
    </row>
    <row r="1348" spans="1:10" x14ac:dyDescent="0.25">
      <c r="A1348" s="10">
        <v>42663</v>
      </c>
      <c r="B1348" s="11" t="s">
        <v>8</v>
      </c>
      <c r="C1348" s="11" t="s">
        <v>5</v>
      </c>
      <c r="D1348" s="16" t="str">
        <f>HYPERLINK("https://freddywills.com/pick/147/byu-7-3-3-play.html", "BYU +7 3.3% PLAY")</f>
        <v>BYU +7 3.3% PLAY</v>
      </c>
      <c r="E1348" s="11">
        <v>3.3</v>
      </c>
      <c r="F1348" s="11">
        <v>-1.1000000000000001</v>
      </c>
      <c r="G1348" s="11" t="s">
        <v>4</v>
      </c>
      <c r="H1348" s="13">
        <v>3000</v>
      </c>
      <c r="I1348" s="14">
        <f t="shared" si="47"/>
        <v>-0.15776999999999988</v>
      </c>
      <c r="J1348" s="13">
        <f t="shared" si="48"/>
        <v>251104.28000000003</v>
      </c>
    </row>
    <row r="1349" spans="1:10" x14ac:dyDescent="0.25">
      <c r="A1349" s="10">
        <v>42659</v>
      </c>
      <c r="B1349" s="11" t="s">
        <v>2</v>
      </c>
      <c r="C1349" s="11" t="s">
        <v>5</v>
      </c>
      <c r="D1349" s="16" t="str">
        <f>HYPERLINK("https://freddywills.com/pick/148/chiefs-1-5-5-5-nfl-pod.html", "Chiefs -1.5 5.5% NFL POD")</f>
        <v>Chiefs -1.5 5.5% NFL POD</v>
      </c>
      <c r="E1349" s="11">
        <v>5.5</v>
      </c>
      <c r="F1349" s="11">
        <v>-1.1000000000000001</v>
      </c>
      <c r="G1349" s="11" t="s">
        <v>4</v>
      </c>
      <c r="H1349" s="13">
        <v>5000</v>
      </c>
      <c r="I1349" s="14">
        <f t="shared" si="47"/>
        <v>-0.18776999999999988</v>
      </c>
      <c r="J1349" s="13">
        <f t="shared" si="48"/>
        <v>248104.28000000003</v>
      </c>
    </row>
    <row r="1350" spans="1:10" x14ac:dyDescent="0.25">
      <c r="A1350" s="10">
        <v>42659</v>
      </c>
      <c r="B1350" s="11" t="s">
        <v>2</v>
      </c>
      <c r="C1350" s="11" t="s">
        <v>5</v>
      </c>
      <c r="D1350" s="16" t="str">
        <f>HYPERLINK("https://freddywills.com/pick/149/49ers-8-5.html", "49ers +8.5")</f>
        <v>49ers +8.5</v>
      </c>
      <c r="E1350" s="11">
        <v>3.3</v>
      </c>
      <c r="F1350" s="11">
        <v>-1.1000000000000001</v>
      </c>
      <c r="G1350" s="11" t="s">
        <v>6</v>
      </c>
      <c r="H1350" s="13">
        <v>-3300</v>
      </c>
      <c r="I1350" s="14">
        <f t="shared" si="47"/>
        <v>-0.23776999999999987</v>
      </c>
      <c r="J1350" s="13">
        <f t="shared" si="48"/>
        <v>243104.28000000003</v>
      </c>
    </row>
    <row r="1351" spans="1:10" x14ac:dyDescent="0.25">
      <c r="A1351" s="10">
        <v>42659</v>
      </c>
      <c r="B1351" s="11" t="s">
        <v>2</v>
      </c>
      <c r="C1351" s="11" t="s">
        <v>5</v>
      </c>
      <c r="D1351" s="16" t="str">
        <f>HYPERLINK("https://freddywills.com/pick/150/dolphins-7-5.html", "Dolphins +7.5")</f>
        <v>Dolphins +7.5</v>
      </c>
      <c r="E1351" s="11">
        <v>3.3</v>
      </c>
      <c r="F1351" s="11">
        <v>-1.1000000000000001</v>
      </c>
      <c r="G1351" s="11" t="s">
        <v>4</v>
      </c>
      <c r="H1351" s="13">
        <v>3000</v>
      </c>
      <c r="I1351" s="14">
        <f t="shared" si="47"/>
        <v>-0.20476999999999987</v>
      </c>
      <c r="J1351" s="13">
        <f t="shared" si="48"/>
        <v>246404.28000000003</v>
      </c>
    </row>
    <row r="1352" spans="1:10" x14ac:dyDescent="0.25">
      <c r="A1352" s="10">
        <v>42658</v>
      </c>
      <c r="B1352" s="11" t="s">
        <v>8</v>
      </c>
      <c r="C1352" s="11" t="s">
        <v>5</v>
      </c>
      <c r="D1352" s="16" t="str">
        <f>HYPERLINK("https://freddywills.com/pick/151/north-carolina-7-5.html", "North Carolina +7.5")</f>
        <v>North Carolina +7.5</v>
      </c>
      <c r="E1352" s="11">
        <v>1.1000000000000001</v>
      </c>
      <c r="F1352" s="11">
        <v>-1.1000000000000001</v>
      </c>
      <c r="G1352" s="11" t="s">
        <v>4</v>
      </c>
      <c r="H1352" s="13">
        <v>1000</v>
      </c>
      <c r="I1352" s="14">
        <f t="shared" si="47"/>
        <v>-0.23476999999999987</v>
      </c>
      <c r="J1352" s="13">
        <f t="shared" si="48"/>
        <v>243404.28000000003</v>
      </c>
    </row>
    <row r="1353" spans="1:10" x14ac:dyDescent="0.25">
      <c r="A1353" s="10">
        <v>42658</v>
      </c>
      <c r="B1353" s="11" t="s">
        <v>8</v>
      </c>
      <c r="C1353" s="11" t="s">
        <v>5</v>
      </c>
      <c r="D1353" s="16" t="str">
        <f>HYPERLINK("https://freddywills.com/pick/152/nebraska-3-5-5-pod.html", "Nebraska -3 5.5% POD")</f>
        <v>Nebraska -3 5.5% POD</v>
      </c>
      <c r="E1353" s="11">
        <v>5.5</v>
      </c>
      <c r="F1353" s="11">
        <v>-1.1000000000000001</v>
      </c>
      <c r="G1353" s="11" t="s">
        <v>4</v>
      </c>
      <c r="H1353" s="13">
        <v>5000</v>
      </c>
      <c r="I1353" s="14">
        <f t="shared" si="47"/>
        <v>-0.24476999999999988</v>
      </c>
      <c r="J1353" s="13">
        <f t="shared" si="48"/>
        <v>242404.28000000003</v>
      </c>
    </row>
    <row r="1354" spans="1:10" x14ac:dyDescent="0.25">
      <c r="A1354" s="10">
        <v>42658</v>
      </c>
      <c r="B1354" s="11" t="s">
        <v>8</v>
      </c>
      <c r="C1354" s="11" t="s">
        <v>5</v>
      </c>
      <c r="D1354" s="16" t="str">
        <f>HYPERLINK("https://freddywills.com/pick/153/kansas-state-10-5.html", "Kansas State +10.5")</f>
        <v>Kansas State +10.5</v>
      </c>
      <c r="E1354" s="11">
        <v>2.2000000000000002</v>
      </c>
      <c r="F1354" s="11">
        <v>-1.1000000000000001</v>
      </c>
      <c r="G1354" s="11" t="s">
        <v>6</v>
      </c>
      <c r="H1354" s="13">
        <v>-2200</v>
      </c>
      <c r="I1354" s="14">
        <f t="shared" si="47"/>
        <v>-0.29476999999999987</v>
      </c>
      <c r="J1354" s="13">
        <f t="shared" si="48"/>
        <v>237404.28000000003</v>
      </c>
    </row>
    <row r="1355" spans="1:10" x14ac:dyDescent="0.25">
      <c r="A1355" s="10">
        <v>42658</v>
      </c>
      <c r="B1355" s="11" t="s">
        <v>8</v>
      </c>
      <c r="C1355" s="11" t="s">
        <v>5</v>
      </c>
      <c r="D1355" s="16" t="str">
        <f>HYPERLINK("https://freddywills.com/pick/154/arkansas-7.html", "Arkansas +7")</f>
        <v>Arkansas +7</v>
      </c>
      <c r="E1355" s="11">
        <v>3.3</v>
      </c>
      <c r="F1355" s="11">
        <v>-1.1000000000000001</v>
      </c>
      <c r="G1355" s="11" t="s">
        <v>4</v>
      </c>
      <c r="H1355" s="13">
        <v>3000</v>
      </c>
      <c r="I1355" s="14">
        <f t="shared" si="47"/>
        <v>-0.27276999999999985</v>
      </c>
      <c r="J1355" s="13">
        <f t="shared" si="48"/>
        <v>239604.28000000003</v>
      </c>
    </row>
    <row r="1356" spans="1:10" x14ac:dyDescent="0.25">
      <c r="A1356" s="10">
        <v>42658</v>
      </c>
      <c r="B1356" s="11" t="s">
        <v>8</v>
      </c>
      <c r="C1356" s="11" t="s">
        <v>10</v>
      </c>
      <c r="D1356" s="16" t="str">
        <f>HYPERLINK("https://freddywills.com/pick/155/temple-10-w-w-kty-8-5.html", "Temple +10 w/W.Kty +8.5")</f>
        <v>Temple +10 w/W.Kty +8.5</v>
      </c>
      <c r="E1356" s="11">
        <v>3.3</v>
      </c>
      <c r="F1356" s="11">
        <v>-1.1000000000000001</v>
      </c>
      <c r="G1356" s="11" t="s">
        <v>4</v>
      </c>
      <c r="H1356" s="13">
        <v>3000</v>
      </c>
      <c r="I1356" s="14">
        <f t="shared" si="47"/>
        <v>-0.30276999999999987</v>
      </c>
      <c r="J1356" s="13">
        <f t="shared" si="48"/>
        <v>236604.28000000003</v>
      </c>
    </row>
    <row r="1357" spans="1:10" x14ac:dyDescent="0.25">
      <c r="A1357" s="10">
        <v>42657</v>
      </c>
      <c r="B1357" s="11" t="s">
        <v>8</v>
      </c>
      <c r="C1357" s="11" t="s">
        <v>5</v>
      </c>
      <c r="D1357" s="16" t="str">
        <f>HYPERLINK("https://freddywills.com/pick/156/miss-st-7-5.html", "MISS ST +7.5")</f>
        <v>MISS ST +7.5</v>
      </c>
      <c r="E1357" s="11">
        <v>3.3</v>
      </c>
      <c r="F1357" s="11">
        <v>-1.1000000000000001</v>
      </c>
      <c r="G1357" s="11" t="s">
        <v>4</v>
      </c>
      <c r="H1357" s="13">
        <v>3000</v>
      </c>
      <c r="I1357" s="14">
        <f t="shared" si="47"/>
        <v>-0.3327699999999999</v>
      </c>
      <c r="J1357" s="13">
        <f t="shared" si="48"/>
        <v>233604.28000000003</v>
      </c>
    </row>
    <row r="1358" spans="1:10" x14ac:dyDescent="0.25">
      <c r="A1358" s="10">
        <v>42652</v>
      </c>
      <c r="B1358" s="11" t="s">
        <v>8</v>
      </c>
      <c r="C1358" s="11" t="s">
        <v>5</v>
      </c>
      <c r="D1358" s="16" t="str">
        <f>HYPERLINK("https://freddywills.com/pick/157/south-carolina-7-pod.html", "South Carolina +7 POD")</f>
        <v>South Carolina +7 POD</v>
      </c>
      <c r="E1358" s="11">
        <v>5.5</v>
      </c>
      <c r="F1358" s="11">
        <v>-1.1000000000000001</v>
      </c>
      <c r="G1358" s="11" t="s">
        <v>6</v>
      </c>
      <c r="H1358" s="13">
        <v>-5500</v>
      </c>
      <c r="I1358" s="14">
        <f t="shared" si="47"/>
        <v>-0.36276999999999993</v>
      </c>
      <c r="J1358" s="13">
        <f t="shared" si="48"/>
        <v>230604.28000000003</v>
      </c>
    </row>
    <row r="1359" spans="1:10" x14ac:dyDescent="0.25">
      <c r="A1359" s="10">
        <v>42652</v>
      </c>
      <c r="B1359" s="11" t="s">
        <v>2</v>
      </c>
      <c r="C1359" s="11" t="s">
        <v>5</v>
      </c>
      <c r="D1359" s="16" t="str">
        <f>HYPERLINK("https://freddywills.com/pick/158/lions-4-5-5-pod.html", "Lions +4 5.5% POD")</f>
        <v>Lions +4 5.5% POD</v>
      </c>
      <c r="E1359" s="11">
        <v>5.5</v>
      </c>
      <c r="F1359" s="11">
        <v>-1.1000000000000001</v>
      </c>
      <c r="G1359" s="11" t="s">
        <v>4</v>
      </c>
      <c r="H1359" s="13">
        <v>5000</v>
      </c>
      <c r="I1359" s="14">
        <f t="shared" si="47"/>
        <v>-0.30776999999999993</v>
      </c>
      <c r="J1359" s="13">
        <f t="shared" si="48"/>
        <v>236104.28000000003</v>
      </c>
    </row>
    <row r="1360" spans="1:10" x14ac:dyDescent="0.25">
      <c r="A1360" s="10">
        <v>42652</v>
      </c>
      <c r="B1360" s="11" t="s">
        <v>2</v>
      </c>
      <c r="C1360" s="11" t="s">
        <v>5</v>
      </c>
      <c r="D1360" s="16" t="str">
        <f>HYPERLINK("https://freddywills.com/pick/159/browns-10-5.html", "Browns +10.5")</f>
        <v>Browns +10.5</v>
      </c>
      <c r="E1360" s="11">
        <v>3.3</v>
      </c>
      <c r="F1360" s="11">
        <v>-1.1000000000000001</v>
      </c>
      <c r="G1360" s="11" t="s">
        <v>6</v>
      </c>
      <c r="H1360" s="13">
        <v>-3300</v>
      </c>
      <c r="I1360" s="14">
        <f t="shared" si="47"/>
        <v>-0.35776999999999992</v>
      </c>
      <c r="J1360" s="13">
        <f t="shared" si="48"/>
        <v>231104.28000000003</v>
      </c>
    </row>
    <row r="1361" spans="1:10" x14ac:dyDescent="0.25">
      <c r="A1361" s="10">
        <v>42652</v>
      </c>
      <c r="B1361" s="11" t="s">
        <v>2</v>
      </c>
      <c r="C1361" s="11" t="s">
        <v>5</v>
      </c>
      <c r="D1361" s="16" t="str">
        <f>HYPERLINK("https://freddywills.com/pick/160/texans-6.html", "Texans +6")</f>
        <v>Texans +6</v>
      </c>
      <c r="E1361" s="11">
        <v>2.2000000000000002</v>
      </c>
      <c r="F1361" s="11">
        <v>-1.1000000000000001</v>
      </c>
      <c r="G1361" s="11" t="s">
        <v>6</v>
      </c>
      <c r="H1361" s="13">
        <v>-2200</v>
      </c>
      <c r="I1361" s="14">
        <f t="shared" si="47"/>
        <v>-0.32476999999999989</v>
      </c>
      <c r="J1361" s="13">
        <f t="shared" si="48"/>
        <v>234404.28000000003</v>
      </c>
    </row>
    <row r="1362" spans="1:10" x14ac:dyDescent="0.25">
      <c r="A1362" s="10">
        <v>42652</v>
      </c>
      <c r="B1362" s="11" t="s">
        <v>2</v>
      </c>
      <c r="C1362" s="11" t="s">
        <v>5</v>
      </c>
      <c r="D1362" s="16" t="str">
        <f>HYPERLINK("https://freddywills.com/pick/161/bears-4-5.html", "Bears +4.5")</f>
        <v>Bears +4.5</v>
      </c>
      <c r="E1362" s="11">
        <v>3.3</v>
      </c>
      <c r="F1362" s="11">
        <v>-1.1000000000000001</v>
      </c>
      <c r="G1362" s="11" t="s">
        <v>6</v>
      </c>
      <c r="H1362" s="13">
        <v>-3300</v>
      </c>
      <c r="I1362" s="14">
        <f t="shared" si="47"/>
        <v>-0.30276999999999987</v>
      </c>
      <c r="J1362" s="13">
        <f t="shared" si="48"/>
        <v>236604.28000000003</v>
      </c>
    </row>
    <row r="1363" spans="1:10" x14ac:dyDescent="0.25">
      <c r="A1363" s="10">
        <v>42651</v>
      </c>
      <c r="B1363" s="11" t="s">
        <v>8</v>
      </c>
      <c r="C1363" s="11" t="s">
        <v>10</v>
      </c>
      <c r="D1363" s="16" t="str">
        <f>HYPERLINK("https://freddywills.com/pick/162/mich-st-pk-texas-a-amp-m-1.html", "Mich St pk / Texas A&amp;amp;M -1")</f>
        <v>Mich St pk / Texas A&amp;amp;M -1</v>
      </c>
      <c r="E1363" s="11">
        <v>4.4000000000000004</v>
      </c>
      <c r="F1363" s="11">
        <v>-1.1000000000000001</v>
      </c>
      <c r="G1363" s="11" t="s">
        <v>6</v>
      </c>
      <c r="H1363" s="13">
        <v>-4400</v>
      </c>
      <c r="I1363" s="14">
        <f t="shared" si="47"/>
        <v>-0.2697699999999999</v>
      </c>
      <c r="J1363" s="13">
        <f t="shared" si="48"/>
        <v>239904.28000000003</v>
      </c>
    </row>
    <row r="1364" spans="1:10" x14ac:dyDescent="0.25">
      <c r="A1364" s="10">
        <v>42651</v>
      </c>
      <c r="B1364" s="11" t="s">
        <v>8</v>
      </c>
      <c r="C1364" s="11" t="s">
        <v>5</v>
      </c>
      <c r="D1364" s="16" t="str">
        <f>HYPERLINK("https://freddywills.com/pick/163/maryland-1.html", "Maryland -1")</f>
        <v>Maryland -1</v>
      </c>
      <c r="E1364" s="11">
        <v>4.4000000000000004</v>
      </c>
      <c r="F1364" s="11">
        <v>-1</v>
      </c>
      <c r="G1364" s="11" t="s">
        <v>6</v>
      </c>
      <c r="H1364" s="13">
        <v>-4400</v>
      </c>
      <c r="I1364" s="14">
        <f t="shared" si="47"/>
        <v>-0.22576999999999992</v>
      </c>
      <c r="J1364" s="13">
        <f t="shared" si="48"/>
        <v>244304.28000000003</v>
      </c>
    </row>
    <row r="1365" spans="1:10" x14ac:dyDescent="0.25">
      <c r="A1365" s="10">
        <v>42651</v>
      </c>
      <c r="B1365" s="11" t="s">
        <v>8</v>
      </c>
      <c r="C1365" s="11" t="s">
        <v>5</v>
      </c>
      <c r="D1365" s="16" t="str">
        <f>HYPERLINK("https://freddywills.com/pick/164/virginia-tech-1-5.html", "Virginia Tech +1.5")</f>
        <v>Virginia Tech +1.5</v>
      </c>
      <c r="E1365" s="11">
        <v>5.5</v>
      </c>
      <c r="F1365" s="11">
        <v>-1.1000000000000001</v>
      </c>
      <c r="G1365" s="11" t="s">
        <v>4</v>
      </c>
      <c r="H1365" s="13">
        <v>5000</v>
      </c>
      <c r="I1365" s="14">
        <f t="shared" si="47"/>
        <v>-0.18176999999999993</v>
      </c>
      <c r="J1365" s="13">
        <f t="shared" si="48"/>
        <v>248704.28000000003</v>
      </c>
    </row>
    <row r="1366" spans="1:10" x14ac:dyDescent="0.25">
      <c r="A1366" s="10">
        <v>42651</v>
      </c>
      <c r="B1366" s="11" t="s">
        <v>8</v>
      </c>
      <c r="C1366" s="11" t="s">
        <v>5</v>
      </c>
      <c r="D1366" s="16" t="str">
        <f>HYPERLINK("https://freddywills.com/pick/165/miss-state-3-4-4.html", "Miss State +3 4.4%")</f>
        <v>Miss State +3 4.4%</v>
      </c>
      <c r="E1366" s="11">
        <v>4.4000000000000004</v>
      </c>
      <c r="F1366" s="11">
        <v>-1.1000000000000001</v>
      </c>
      <c r="G1366" s="11" t="s">
        <v>6</v>
      </c>
      <c r="H1366" s="13">
        <v>-4400</v>
      </c>
      <c r="I1366" s="14">
        <f t="shared" si="47"/>
        <v>-0.23176999999999992</v>
      </c>
      <c r="J1366" s="13">
        <f t="shared" si="48"/>
        <v>243704.28000000003</v>
      </c>
    </row>
    <row r="1367" spans="1:10" x14ac:dyDescent="0.25">
      <c r="A1367" s="10">
        <v>42651</v>
      </c>
      <c r="B1367" s="11" t="s">
        <v>8</v>
      </c>
      <c r="C1367" s="11" t="s">
        <v>7</v>
      </c>
      <c r="D1367" s="16" t="str">
        <f>HYPERLINK("https://freddywills.com/pick/166/vanderbilt-kentucky-u52.html", "Vanderbilt/Kentucky U52")</f>
        <v>Vanderbilt/Kentucky U52</v>
      </c>
      <c r="E1367" s="11">
        <v>3.3</v>
      </c>
      <c r="F1367" s="11">
        <v>-1.1000000000000001</v>
      </c>
      <c r="G1367" s="11" t="s">
        <v>4</v>
      </c>
      <c r="H1367" s="13">
        <v>3000</v>
      </c>
      <c r="I1367" s="14">
        <f t="shared" si="47"/>
        <v>-0.18776999999999994</v>
      </c>
      <c r="J1367" s="13">
        <f t="shared" si="48"/>
        <v>248104.28000000003</v>
      </c>
    </row>
    <row r="1368" spans="1:10" x14ac:dyDescent="0.25">
      <c r="A1368" s="10">
        <v>42651</v>
      </c>
      <c r="B1368" s="11" t="s">
        <v>8</v>
      </c>
      <c r="C1368" s="11" t="s">
        <v>5</v>
      </c>
      <c r="D1368" s="16" t="str">
        <f>HYPERLINK("https://freddywills.com/pick/167/arkansas-14.html", "Arkansas +14")</f>
        <v>Arkansas +14</v>
      </c>
      <c r="E1368" s="11">
        <v>2.2000000000000002</v>
      </c>
      <c r="F1368" s="11">
        <v>-1.1000000000000001</v>
      </c>
      <c r="G1368" s="11" t="s">
        <v>6</v>
      </c>
      <c r="H1368" s="13">
        <v>-2200</v>
      </c>
      <c r="I1368" s="14">
        <f t="shared" si="47"/>
        <v>-0.21776999999999994</v>
      </c>
      <c r="J1368" s="13">
        <f t="shared" si="48"/>
        <v>245104.28000000003</v>
      </c>
    </row>
    <row r="1369" spans="1:10" x14ac:dyDescent="0.25">
      <c r="A1369" s="10">
        <v>42651</v>
      </c>
      <c r="B1369" s="11" t="s">
        <v>8</v>
      </c>
      <c r="C1369" s="11" t="s">
        <v>10</v>
      </c>
      <c r="D1369" s="16" t="str">
        <f>HYPERLINK("https://freddywills.com/pick/168/stanford-1-kansas-st-1-5.html", "/ Stanford -1 / Kansas St -1.5")</f>
        <v>/ Stanford -1 / Kansas St -1.5</v>
      </c>
      <c r="E1369" s="11">
        <v>2.2000000000000002</v>
      </c>
      <c r="F1369" s="11">
        <v>-1.1000000000000001</v>
      </c>
      <c r="G1369" s="11" t="s">
        <v>6</v>
      </c>
      <c r="H1369" s="13">
        <v>-2200</v>
      </c>
      <c r="I1369" s="14">
        <f t="shared" si="47"/>
        <v>-0.19576999999999994</v>
      </c>
      <c r="J1369" s="13">
        <f t="shared" si="48"/>
        <v>247304.28000000003</v>
      </c>
    </row>
    <row r="1370" spans="1:10" x14ac:dyDescent="0.25">
      <c r="A1370" s="10">
        <v>42650</v>
      </c>
      <c r="B1370" s="11" t="s">
        <v>8</v>
      </c>
      <c r="C1370" s="11" t="s">
        <v>5</v>
      </c>
      <c r="D1370" s="16" t="str">
        <f>HYPERLINK("https://freddywills.com/pick/169/new-mexico-17-5.html", "New Mexico +17.5")</f>
        <v>New Mexico +17.5</v>
      </c>
      <c r="E1370" s="11">
        <v>2.2000000000000002</v>
      </c>
      <c r="F1370" s="11">
        <v>-1.1000000000000001</v>
      </c>
      <c r="G1370" s="11" t="s">
        <v>6</v>
      </c>
      <c r="H1370" s="13">
        <v>-2200</v>
      </c>
      <c r="I1370" s="14">
        <f t="shared" si="47"/>
        <v>-0.17376999999999995</v>
      </c>
      <c r="J1370" s="13">
        <f t="shared" si="48"/>
        <v>249504.28000000003</v>
      </c>
    </row>
    <row r="1371" spans="1:10" x14ac:dyDescent="0.25">
      <c r="A1371" s="10">
        <v>42649</v>
      </c>
      <c r="B1371" s="11" t="s">
        <v>8</v>
      </c>
      <c r="C1371" s="11" t="s">
        <v>18</v>
      </c>
      <c r="D1371" s="16" t="str">
        <f>HYPERLINK("https://freddywills.com/pick/170/la-tech-125.html", "LA Tech +125")</f>
        <v>LA Tech +125</v>
      </c>
      <c r="E1371" s="11">
        <v>3</v>
      </c>
      <c r="F1371" s="11">
        <v>1.25</v>
      </c>
      <c r="G1371" s="11" t="s">
        <v>4</v>
      </c>
      <c r="H1371" s="13">
        <v>3750</v>
      </c>
      <c r="I1371" s="14">
        <f t="shared" si="47"/>
        <v>-0.15176999999999996</v>
      </c>
      <c r="J1371" s="13">
        <f t="shared" si="48"/>
        <v>251704.28000000003</v>
      </c>
    </row>
    <row r="1372" spans="1:10" x14ac:dyDescent="0.25">
      <c r="A1372" s="10">
        <v>42649</v>
      </c>
      <c r="B1372" s="11" t="s">
        <v>8</v>
      </c>
      <c r="C1372" s="11" t="s">
        <v>5</v>
      </c>
      <c r="D1372" s="16" t="str">
        <f>HYPERLINK("https://freddywills.com/pick/171/san-diego-state-15-5-1-1-free-play.html", "San Diego State -15.5 1.1% Free Play")</f>
        <v>San Diego State -15.5 1.1% Free Play</v>
      </c>
      <c r="E1372" s="11">
        <v>1.1000000000000001</v>
      </c>
      <c r="F1372" s="11">
        <v>-1.1000000000000001</v>
      </c>
      <c r="G1372" s="11" t="s">
        <v>4</v>
      </c>
      <c r="H1372" s="13">
        <v>1000</v>
      </c>
      <c r="I1372" s="14">
        <f t="shared" si="47"/>
        <v>-0.18926999999999997</v>
      </c>
      <c r="J1372" s="13">
        <f t="shared" si="48"/>
        <v>247954.28000000003</v>
      </c>
    </row>
    <row r="1373" spans="1:10" x14ac:dyDescent="0.25">
      <c r="A1373" s="10">
        <v>42648</v>
      </c>
      <c r="B1373" s="11" t="s">
        <v>8</v>
      </c>
      <c r="C1373" s="11" t="s">
        <v>5</v>
      </c>
      <c r="D1373" s="16" t="str">
        <f>HYPERLINK("https://freddywills.com/pick/172/arkansas-state-8.html", "Arkansas State +8")</f>
        <v>Arkansas State +8</v>
      </c>
      <c r="E1373" s="11">
        <v>2.2000000000000002</v>
      </c>
      <c r="F1373" s="11">
        <v>-1.1000000000000001</v>
      </c>
      <c r="G1373" s="11" t="s">
        <v>4</v>
      </c>
      <c r="H1373" s="13">
        <v>2000</v>
      </c>
      <c r="I1373" s="14">
        <f t="shared" si="47"/>
        <v>-0.19926999999999997</v>
      </c>
      <c r="J1373" s="13">
        <f t="shared" si="48"/>
        <v>246954.28000000003</v>
      </c>
    </row>
    <row r="1374" spans="1:10" x14ac:dyDescent="0.25">
      <c r="A1374" s="10">
        <v>42645</v>
      </c>
      <c r="B1374" s="11" t="s">
        <v>2</v>
      </c>
      <c r="C1374" s="11" t="s">
        <v>10</v>
      </c>
      <c r="D1374" s="16" t="str">
        <f>HYPERLINK("https://freddywills.com/pick/173/jets-7-5-49ers-8-4-4-teaser.html", "Jets +7.5 / 49ers +8 4.4% teaser")</f>
        <v>Jets +7.5 / 49ers +8 4.4% teaser</v>
      </c>
      <c r="E1374" s="11">
        <v>4.4000000000000004</v>
      </c>
      <c r="F1374" s="11">
        <v>-1.1000000000000001</v>
      </c>
      <c r="G1374" s="11" t="s">
        <v>6</v>
      </c>
      <c r="H1374" s="13">
        <v>-4400</v>
      </c>
      <c r="I1374" s="14">
        <f t="shared" si="47"/>
        <v>-0.21926999999999996</v>
      </c>
      <c r="J1374" s="13">
        <f t="shared" si="48"/>
        <v>244954.28000000003</v>
      </c>
    </row>
    <row r="1375" spans="1:10" x14ac:dyDescent="0.25">
      <c r="A1375" s="10">
        <v>42645</v>
      </c>
      <c r="B1375" s="11" t="s">
        <v>2</v>
      </c>
      <c r="C1375" s="11" t="s">
        <v>5</v>
      </c>
      <c r="D1375" s="16" t="str">
        <f>HYPERLINK("https://freddywills.com/pick/174/tampa-bay-3-5-5-5-pod.html", "Tampa Bay +3.5 5.5% POD")</f>
        <v>Tampa Bay +3.5 5.5% POD</v>
      </c>
      <c r="E1375" s="11">
        <v>5.5</v>
      </c>
      <c r="F1375" s="11">
        <v>-1.1000000000000001</v>
      </c>
      <c r="G1375" s="11" t="s">
        <v>6</v>
      </c>
      <c r="H1375" s="13">
        <v>-5500</v>
      </c>
      <c r="I1375" s="14">
        <f t="shared" si="47"/>
        <v>-0.17526999999999995</v>
      </c>
      <c r="J1375" s="13">
        <f t="shared" si="48"/>
        <v>249354.28000000003</v>
      </c>
    </row>
    <row r="1376" spans="1:10" x14ac:dyDescent="0.25">
      <c r="A1376" s="10">
        <v>42645</v>
      </c>
      <c r="B1376" s="11" t="s">
        <v>2</v>
      </c>
      <c r="C1376" s="11" t="s">
        <v>5</v>
      </c>
      <c r="D1376" s="16" t="str">
        <f>HYPERLINK("https://freddywills.com/pick/175/steelers-3-5-3-3-play.html", "Steelers -3.5 3.3% play")</f>
        <v>Steelers -3.5 3.3% play</v>
      </c>
      <c r="E1376" s="11">
        <v>3.3</v>
      </c>
      <c r="F1376" s="11">
        <v>-1.1000000000000001</v>
      </c>
      <c r="G1376" s="11" t="s">
        <v>4</v>
      </c>
      <c r="H1376" s="13">
        <v>3000</v>
      </c>
      <c r="I1376" s="14">
        <f t="shared" si="47"/>
        <v>-0.12026999999999996</v>
      </c>
      <c r="J1376" s="13">
        <f t="shared" si="48"/>
        <v>254854.28000000003</v>
      </c>
    </row>
    <row r="1377" spans="1:10" x14ac:dyDescent="0.25">
      <c r="A1377" s="10">
        <v>42644</v>
      </c>
      <c r="B1377" s="11" t="s">
        <v>8</v>
      </c>
      <c r="C1377" s="11" t="s">
        <v>5</v>
      </c>
      <c r="D1377" s="16" t="str">
        <f>HYPERLINK("https://freddywills.com/pick/176/georgia-3-5-pod.html", "Georgia +3.5  POD")</f>
        <v>Georgia +3.5  POD</v>
      </c>
      <c r="E1377" s="11">
        <v>5.5</v>
      </c>
      <c r="F1377" s="11">
        <v>-1.1000000000000001</v>
      </c>
      <c r="G1377" s="11" t="s">
        <v>4</v>
      </c>
      <c r="H1377" s="13">
        <v>5000</v>
      </c>
      <c r="I1377" s="14">
        <f t="shared" si="47"/>
        <v>-0.15026999999999996</v>
      </c>
      <c r="J1377" s="13">
        <f t="shared" si="48"/>
        <v>251854.28000000003</v>
      </c>
    </row>
    <row r="1378" spans="1:10" x14ac:dyDescent="0.25">
      <c r="A1378" s="10">
        <v>42644</v>
      </c>
      <c r="B1378" s="11" t="s">
        <v>8</v>
      </c>
      <c r="C1378" s="11" t="s">
        <v>5</v>
      </c>
      <c r="D1378" s="16" t="str">
        <f>HYPERLINK("https://freddywills.com/pick/177/umass-2-5.html", "UMASS +2.5")</f>
        <v>UMASS +2.5</v>
      </c>
      <c r="E1378" s="11">
        <v>2.2000000000000002</v>
      </c>
      <c r="F1378" s="11">
        <v>-1.1000000000000001</v>
      </c>
      <c r="G1378" s="11" t="s">
        <v>6</v>
      </c>
      <c r="H1378" s="13">
        <v>-2200</v>
      </c>
      <c r="I1378" s="14">
        <f t="shared" si="47"/>
        <v>-0.20026999999999998</v>
      </c>
      <c r="J1378" s="13">
        <f t="shared" si="48"/>
        <v>246854.28000000003</v>
      </c>
    </row>
    <row r="1379" spans="1:10" x14ac:dyDescent="0.25">
      <c r="A1379" s="10">
        <v>42644</v>
      </c>
      <c r="B1379" s="11" t="s">
        <v>8</v>
      </c>
      <c r="C1379" s="11" t="s">
        <v>10</v>
      </c>
      <c r="D1379" s="16" t="str">
        <f>HYPERLINK("https://freddywills.com/pick/178/clemson-8-5-michigan-st-0-5.html", "Clemson +8.5 / Michigan St -0.5")</f>
        <v>Clemson +8.5 / Michigan St -0.5</v>
      </c>
      <c r="E1379" s="11">
        <v>4.4000000000000004</v>
      </c>
      <c r="F1379" s="11">
        <v>-1.1000000000000001</v>
      </c>
      <c r="G1379" s="11" t="s">
        <v>6</v>
      </c>
      <c r="H1379" s="13">
        <v>-4400</v>
      </c>
      <c r="I1379" s="14">
        <f t="shared" si="47"/>
        <v>-0.17826999999999998</v>
      </c>
      <c r="J1379" s="13">
        <f t="shared" si="48"/>
        <v>249054.28000000003</v>
      </c>
    </row>
    <row r="1380" spans="1:10" x14ac:dyDescent="0.25">
      <c r="A1380" s="10">
        <v>42644</v>
      </c>
      <c r="B1380" s="11" t="s">
        <v>8</v>
      </c>
      <c r="C1380" s="11" t="s">
        <v>5</v>
      </c>
      <c r="D1380" s="16" t="str">
        <f>HYPERLINK("https://freddywills.com/pick/179/oregon-1-5.html", "Oregon -1.5")</f>
        <v>Oregon -1.5</v>
      </c>
      <c r="E1380" s="11">
        <v>4.4000000000000004</v>
      </c>
      <c r="F1380" s="11">
        <v>-1.1000000000000001</v>
      </c>
      <c r="G1380" s="11" t="s">
        <v>6</v>
      </c>
      <c r="H1380" s="13">
        <v>-4400</v>
      </c>
      <c r="I1380" s="14">
        <f t="shared" si="47"/>
        <v>-0.13427</v>
      </c>
      <c r="J1380" s="13">
        <f t="shared" si="48"/>
        <v>253454.28000000003</v>
      </c>
    </row>
    <row r="1381" spans="1:10" x14ac:dyDescent="0.25">
      <c r="A1381" s="10">
        <v>42644</v>
      </c>
      <c r="B1381" s="11" t="s">
        <v>8</v>
      </c>
      <c r="C1381" s="11" t="s">
        <v>5</v>
      </c>
      <c r="D1381" s="16" t="str">
        <f>HYPERLINK("https://freddywills.com/pick/180/ole-miss-14-5.html", "Ole MIss -14.5")</f>
        <v>Ole MIss -14.5</v>
      </c>
      <c r="E1381" s="11">
        <v>3.3</v>
      </c>
      <c r="F1381" s="11">
        <v>-1.1000000000000001</v>
      </c>
      <c r="G1381" s="11" t="s">
        <v>4</v>
      </c>
      <c r="H1381" s="13">
        <v>3000</v>
      </c>
      <c r="I1381" s="14">
        <f t="shared" si="47"/>
        <v>-9.0269999999999989E-2</v>
      </c>
      <c r="J1381" s="13">
        <f t="shared" si="48"/>
        <v>257854.28000000003</v>
      </c>
    </row>
    <row r="1382" spans="1:10" x14ac:dyDescent="0.25">
      <c r="A1382" s="10">
        <v>42644</v>
      </c>
      <c r="B1382" s="11" t="s">
        <v>8</v>
      </c>
      <c r="C1382" s="11" t="s">
        <v>5</v>
      </c>
      <c r="D1382" s="16" t="str">
        <f>HYPERLINK("https://freddywills.com/pick/181/charlotte-8-5.html", "Charlotte +8.5")</f>
        <v>Charlotte +8.5</v>
      </c>
      <c r="E1382" s="11">
        <v>3.3</v>
      </c>
      <c r="F1382" s="11">
        <v>-1.1000000000000001</v>
      </c>
      <c r="G1382" s="11" t="s">
        <v>6</v>
      </c>
      <c r="H1382" s="13">
        <v>-3300</v>
      </c>
      <c r="I1382" s="14">
        <f t="shared" si="47"/>
        <v>-0.12026999999999999</v>
      </c>
      <c r="J1382" s="13">
        <f t="shared" si="48"/>
        <v>254854.28000000003</v>
      </c>
    </row>
    <row r="1383" spans="1:10" x14ac:dyDescent="0.25">
      <c r="A1383" s="10">
        <v>42643</v>
      </c>
      <c r="B1383" s="11" t="s">
        <v>8</v>
      </c>
      <c r="C1383" s="11" t="s">
        <v>5</v>
      </c>
      <c r="D1383" s="16" t="str">
        <f>HYPERLINK("https://freddywills.com/pick/182/byu-3-120-buy-1-2-3.html", "BYU -3 -120 BUY 1/2 - 3%")</f>
        <v>BYU -3 -120 BUY 1/2 - 3%</v>
      </c>
      <c r="E1383" s="11">
        <v>3</v>
      </c>
      <c r="F1383" s="11">
        <v>-1.2</v>
      </c>
      <c r="G1383" s="11" t="s">
        <v>6</v>
      </c>
      <c r="H1383" s="13">
        <v>-3000</v>
      </c>
      <c r="I1383" s="14">
        <f t="shared" si="47"/>
        <v>-8.7269999999999986E-2</v>
      </c>
      <c r="J1383" s="13">
        <f t="shared" si="48"/>
        <v>258154.28000000003</v>
      </c>
    </row>
    <row r="1384" spans="1:10" x14ac:dyDescent="0.25">
      <c r="A1384" s="10">
        <v>42642</v>
      </c>
      <c r="B1384" s="11" t="s">
        <v>8</v>
      </c>
      <c r="C1384" s="11" t="s">
        <v>5</v>
      </c>
      <c r="D1384" s="16" t="str">
        <f>HYPERLINK("https://freddywills.com/pick/183/wisconsin-10-5.html", "WISCONSIN +10.5")</f>
        <v>WISCONSIN +10.5</v>
      </c>
      <c r="E1384" s="11">
        <v>1.1000000000000001</v>
      </c>
      <c r="F1384" s="11">
        <v>-1.1000000000000001</v>
      </c>
      <c r="G1384" s="11" t="s">
        <v>4</v>
      </c>
      <c r="H1384" s="13">
        <v>1000</v>
      </c>
      <c r="I1384" s="14">
        <f t="shared" si="47"/>
        <v>-5.7269999999999995E-2</v>
      </c>
      <c r="J1384" s="13">
        <f t="shared" si="48"/>
        <v>261154.28000000003</v>
      </c>
    </row>
    <row r="1385" spans="1:10" x14ac:dyDescent="0.25">
      <c r="A1385" s="10">
        <v>42638</v>
      </c>
      <c r="B1385" s="11" t="s">
        <v>2</v>
      </c>
      <c r="C1385" s="11" t="s">
        <v>5</v>
      </c>
      <c r="D1385" s="16" t="str">
        <f>HYPERLINK("https://freddywills.com/pick/184/jaguars-1.html", "Jaguars +1")</f>
        <v>Jaguars +1</v>
      </c>
      <c r="E1385" s="11">
        <v>5.5</v>
      </c>
      <c r="F1385" s="11">
        <v>-1.1000000000000001</v>
      </c>
      <c r="G1385" s="11" t="s">
        <v>6</v>
      </c>
      <c r="H1385" s="13">
        <v>-5500</v>
      </c>
      <c r="I1385" s="14">
        <f t="shared" si="47"/>
        <v>-6.7269999999999996E-2</v>
      </c>
      <c r="J1385" s="13">
        <f t="shared" si="48"/>
        <v>260154.28000000003</v>
      </c>
    </row>
    <row r="1386" spans="1:10" x14ac:dyDescent="0.25">
      <c r="A1386" s="10">
        <v>42638</v>
      </c>
      <c r="B1386" s="11" t="s">
        <v>2</v>
      </c>
      <c r="C1386" s="11" t="s">
        <v>10</v>
      </c>
      <c r="D1386" s="16" t="str">
        <f>HYPERLINK("https://freddywills.com/pick/185/panthers-1-tb-bucs-1.html", "Panthers -1 / TB Bucs +1")</f>
        <v>Panthers -1 / TB Bucs +1</v>
      </c>
      <c r="E1386" s="11">
        <v>4.4000000000000004</v>
      </c>
      <c r="F1386" s="11">
        <v>-1.1000000000000001</v>
      </c>
      <c r="G1386" s="11" t="s">
        <v>6</v>
      </c>
      <c r="H1386" s="13">
        <v>-4400</v>
      </c>
      <c r="I1386" s="14">
        <f t="shared" si="47"/>
        <v>-1.2269999999999989E-2</v>
      </c>
      <c r="J1386" s="13">
        <f t="shared" si="48"/>
        <v>265654.28000000003</v>
      </c>
    </row>
    <row r="1387" spans="1:10" x14ac:dyDescent="0.25">
      <c r="A1387" s="10">
        <v>42638</v>
      </c>
      <c r="B1387" s="11" t="s">
        <v>2</v>
      </c>
      <c r="C1387" s="11" t="s">
        <v>5</v>
      </c>
      <c r="D1387" s="16" t="str">
        <f>HYPERLINK("https://freddywills.com/pick/186/colts-1-5.html", "Colts -1.5")</f>
        <v>Colts -1.5</v>
      </c>
      <c r="E1387" s="11">
        <v>3.3</v>
      </c>
      <c r="F1387" s="11">
        <v>-1.1000000000000001</v>
      </c>
      <c r="G1387" s="11" t="s">
        <v>4</v>
      </c>
      <c r="H1387" s="13">
        <v>3000</v>
      </c>
      <c r="I1387" s="14">
        <f t="shared" si="47"/>
        <v>3.1730000000000008E-2</v>
      </c>
      <c r="J1387" s="13">
        <f t="shared" si="48"/>
        <v>270054.28000000003</v>
      </c>
    </row>
    <row r="1388" spans="1:10" x14ac:dyDescent="0.25">
      <c r="A1388" s="10">
        <v>42638</v>
      </c>
      <c r="B1388" s="11" t="s">
        <v>2</v>
      </c>
      <c r="C1388" s="11" t="s">
        <v>5</v>
      </c>
      <c r="D1388" s="16" t="str">
        <f>HYPERLINK("https://freddywills.com/pick/187/bills-4-5.html", "Bills +4.5")</f>
        <v>Bills +4.5</v>
      </c>
      <c r="E1388" s="11">
        <v>1.1000000000000001</v>
      </c>
      <c r="F1388" s="11">
        <v>-1.1000000000000001</v>
      </c>
      <c r="G1388" s="11" t="s">
        <v>4</v>
      </c>
      <c r="H1388" s="13">
        <v>1000</v>
      </c>
      <c r="I1388" s="14">
        <f t="shared" si="47"/>
        <v>1.7300000000000058E-3</v>
      </c>
      <c r="J1388" s="13">
        <f t="shared" si="48"/>
        <v>267054.28000000003</v>
      </c>
    </row>
    <row r="1389" spans="1:10" x14ac:dyDescent="0.25">
      <c r="A1389" s="10">
        <v>42638</v>
      </c>
      <c r="B1389" s="11" t="s">
        <v>2</v>
      </c>
      <c r="C1389" s="11" t="s">
        <v>5</v>
      </c>
      <c r="D1389" s="16" t="str">
        <f>HYPERLINK("https://freddywills.com/pick/188/titans-1-5.html", "Titans +1.5")</f>
        <v>Titans +1.5</v>
      </c>
      <c r="E1389" s="11">
        <v>2.2000000000000002</v>
      </c>
      <c r="F1389" s="11">
        <v>-1.1000000000000001</v>
      </c>
      <c r="G1389" s="11" t="s">
        <v>6</v>
      </c>
      <c r="H1389" s="13">
        <v>-2200</v>
      </c>
      <c r="I1389" s="14">
        <f t="shared" si="47"/>
        <v>-8.2699999999999944E-3</v>
      </c>
      <c r="J1389" s="13">
        <f t="shared" si="48"/>
        <v>266054.28000000003</v>
      </c>
    </row>
    <row r="1390" spans="1:10" x14ac:dyDescent="0.25">
      <c r="A1390" s="10">
        <v>42637</v>
      </c>
      <c r="B1390" s="11" t="s">
        <v>8</v>
      </c>
      <c r="C1390" s="11" t="s">
        <v>5</v>
      </c>
      <c r="D1390" s="16" t="str">
        <f>HYPERLINK("https://freddywills.com/pick/189/duke-20.html", "Duke +20")</f>
        <v>Duke +20</v>
      </c>
      <c r="E1390" s="11">
        <v>1.1000000000000001</v>
      </c>
      <c r="F1390" s="11">
        <v>-1.1000000000000001</v>
      </c>
      <c r="G1390" s="11" t="s">
        <v>4</v>
      </c>
      <c r="H1390" s="13">
        <v>1000</v>
      </c>
      <c r="I1390" s="14">
        <f t="shared" si="47"/>
        <v>1.3730000000000004E-2</v>
      </c>
      <c r="J1390" s="13">
        <f t="shared" si="48"/>
        <v>268254.28000000003</v>
      </c>
    </row>
    <row r="1391" spans="1:10" x14ac:dyDescent="0.25">
      <c r="A1391" s="10">
        <v>42637</v>
      </c>
      <c r="B1391" s="11" t="s">
        <v>8</v>
      </c>
      <c r="C1391" s="11" t="s">
        <v>5</v>
      </c>
      <c r="D1391" s="16" t="str">
        <f>HYPERLINK("https://freddywills.com/pick/190/arkansas-6-pod.html", "Arkansas +6 POD")</f>
        <v>Arkansas +6 POD</v>
      </c>
      <c r="E1391" s="11">
        <v>5.5</v>
      </c>
      <c r="F1391" s="11">
        <v>-1.1000000000000001</v>
      </c>
      <c r="G1391" s="11" t="s">
        <v>6</v>
      </c>
      <c r="H1391" s="13">
        <v>-5500</v>
      </c>
      <c r="I1391" s="14">
        <f t="shared" si="47"/>
        <v>3.7300000000000041E-3</v>
      </c>
      <c r="J1391" s="13">
        <f t="shared" si="48"/>
        <v>267254.28000000003</v>
      </c>
    </row>
    <row r="1392" spans="1:10" x14ac:dyDescent="0.25">
      <c r="A1392" s="10">
        <v>42637</v>
      </c>
      <c r="B1392" s="11" t="s">
        <v>8</v>
      </c>
      <c r="C1392" s="11" t="s">
        <v>10</v>
      </c>
      <c r="D1392" s="16" t="str">
        <f>HYPERLINK("https://freddywills.com/pick/191/fsu-1-tenn-0-5.html", "FSU +1 / TENN 0.5")</f>
        <v>FSU +1 / TENN 0.5</v>
      </c>
      <c r="E1392" s="11">
        <v>4.4000000000000004</v>
      </c>
      <c r="F1392" s="11">
        <v>-1.1000000000000001</v>
      </c>
      <c r="G1392" s="11" t="s">
        <v>4</v>
      </c>
      <c r="H1392" s="13">
        <v>4000</v>
      </c>
      <c r="I1392" s="14">
        <f t="shared" si="47"/>
        <v>5.8730000000000004E-2</v>
      </c>
      <c r="J1392" s="13">
        <f t="shared" si="48"/>
        <v>272754.28000000003</v>
      </c>
    </row>
    <row r="1393" spans="1:10" x14ac:dyDescent="0.25">
      <c r="A1393" s="10">
        <v>42637</v>
      </c>
      <c r="B1393" s="11" t="s">
        <v>8</v>
      </c>
      <c r="C1393" s="11" t="s">
        <v>5</v>
      </c>
      <c r="D1393" s="16" t="str">
        <f>HYPERLINK("https://freddywills.com/pick/192/akron-6.html", "Akron +6")</f>
        <v>Akron +6</v>
      </c>
      <c r="E1393" s="11">
        <v>2.2000000000000002</v>
      </c>
      <c r="F1393" s="11">
        <v>-1.1000000000000001</v>
      </c>
      <c r="G1393" s="11" t="s">
        <v>6</v>
      </c>
      <c r="H1393" s="13">
        <v>-2200</v>
      </c>
      <c r="I1393" s="14">
        <f t="shared" si="47"/>
        <v>1.8730000000000004E-2</v>
      </c>
      <c r="J1393" s="13">
        <f t="shared" si="48"/>
        <v>268754.28000000003</v>
      </c>
    </row>
    <row r="1394" spans="1:10" x14ac:dyDescent="0.25">
      <c r="A1394" s="10">
        <v>42637</v>
      </c>
      <c r="B1394" s="11" t="s">
        <v>8</v>
      </c>
      <c r="C1394" s="11" t="s">
        <v>5</v>
      </c>
      <c r="D1394" s="16" t="str">
        <f>HYPERLINK("https://freddywills.com/pick/193/vanderbilt-8.html", "Vanderbilt +8")</f>
        <v>Vanderbilt +8</v>
      </c>
      <c r="E1394" s="11">
        <v>4.4000000000000004</v>
      </c>
      <c r="F1394" s="11">
        <v>-1.1000000000000001</v>
      </c>
      <c r="G1394" s="11" t="s">
        <v>4</v>
      </c>
      <c r="H1394" s="13">
        <v>4000</v>
      </c>
      <c r="I1394" s="14">
        <f t="shared" ref="I1394:I1436" si="49">(H1394/100000)+I1395</f>
        <v>4.0730000000000002E-2</v>
      </c>
      <c r="J1394" s="13">
        <f t="shared" ref="J1394:J1440" si="50">H1394+J1395</f>
        <v>270954.28000000003</v>
      </c>
    </row>
    <row r="1395" spans="1:10" x14ac:dyDescent="0.25">
      <c r="A1395" s="10">
        <v>42637</v>
      </c>
      <c r="B1395" s="11" t="s">
        <v>8</v>
      </c>
      <c r="C1395" s="11" t="s">
        <v>5</v>
      </c>
      <c r="D1395" s="16" t="str">
        <f>HYPERLINK("https://freddywills.com/pick/194/okl-state-9.html", "Okl State +9")</f>
        <v>Okl State +9</v>
      </c>
      <c r="E1395" s="11">
        <v>2.2000000000000002</v>
      </c>
      <c r="F1395" s="11">
        <v>-1.1000000000000001</v>
      </c>
      <c r="G1395" s="11" t="s">
        <v>6</v>
      </c>
      <c r="H1395" s="13">
        <v>-2200</v>
      </c>
      <c r="I1395" s="14">
        <f t="shared" si="49"/>
        <v>7.3000000000000148E-4</v>
      </c>
      <c r="J1395" s="13">
        <f t="shared" si="50"/>
        <v>266954.28000000003</v>
      </c>
    </row>
    <row r="1396" spans="1:10" x14ac:dyDescent="0.25">
      <c r="A1396" s="10">
        <v>42637</v>
      </c>
      <c r="B1396" s="11" t="s">
        <v>8</v>
      </c>
      <c r="C1396" s="11" t="s">
        <v>7</v>
      </c>
      <c r="D1396" s="16" t="str">
        <f>HYPERLINK("https://freddywills.com/pick/195/lsu-auburn-under-44-5.html", "LSU/AUBURN UNDER 44.5")</f>
        <v>LSU/AUBURN UNDER 44.5</v>
      </c>
      <c r="E1396" s="11">
        <v>3.3</v>
      </c>
      <c r="F1396" s="11">
        <v>-1.1000000000000001</v>
      </c>
      <c r="G1396" s="11" t="s">
        <v>4</v>
      </c>
      <c r="H1396" s="13">
        <v>3000</v>
      </c>
      <c r="I1396" s="14">
        <f t="shared" si="49"/>
        <v>2.273E-2</v>
      </c>
      <c r="J1396" s="13">
        <f t="shared" si="50"/>
        <v>269154.28000000003</v>
      </c>
    </row>
    <row r="1397" spans="1:10" x14ac:dyDescent="0.25">
      <c r="A1397" s="10">
        <v>42637</v>
      </c>
      <c r="B1397" s="11" t="s">
        <v>8</v>
      </c>
      <c r="C1397" s="11" t="s">
        <v>18</v>
      </c>
      <c r="D1397" s="16" t="str">
        <f>HYPERLINK("https://freddywills.com/pick/196/ark-210.html", "Ark +210")</f>
        <v>Ark +210</v>
      </c>
      <c r="E1397" s="11">
        <v>1</v>
      </c>
      <c r="F1397" s="11">
        <v>2.1</v>
      </c>
      <c r="G1397" s="11" t="s">
        <v>6</v>
      </c>
      <c r="H1397" s="13">
        <v>-1000</v>
      </c>
      <c r="I1397" s="14">
        <f t="shared" si="49"/>
        <v>-7.269999999999997E-3</v>
      </c>
      <c r="J1397" s="13">
        <f t="shared" si="50"/>
        <v>266154.28000000003</v>
      </c>
    </row>
    <row r="1398" spans="1:10" x14ac:dyDescent="0.25">
      <c r="A1398" s="10">
        <v>42636</v>
      </c>
      <c r="B1398" s="11" t="s">
        <v>8</v>
      </c>
      <c r="C1398" s="11" t="s">
        <v>7</v>
      </c>
      <c r="D1398" s="16" t="str">
        <f>HYPERLINK("https://freddywills.com/pick/197/usc-utah-under-46-5.html", "USC/UTAH Under 46.5")</f>
        <v>USC/UTAH Under 46.5</v>
      </c>
      <c r="E1398" s="11">
        <v>2.2000000000000002</v>
      </c>
      <c r="F1398" s="11">
        <v>-1.1000000000000001</v>
      </c>
      <c r="G1398" s="11" t="s">
        <v>6</v>
      </c>
      <c r="H1398" s="13">
        <v>-2200</v>
      </c>
      <c r="I1398" s="14">
        <f t="shared" si="49"/>
        <v>2.7300000000000033E-3</v>
      </c>
      <c r="J1398" s="13">
        <f t="shared" si="50"/>
        <v>267154.28000000003</v>
      </c>
    </row>
    <row r="1399" spans="1:10" x14ac:dyDescent="0.25">
      <c r="A1399" s="10">
        <v>42635</v>
      </c>
      <c r="B1399" s="11" t="s">
        <v>8</v>
      </c>
      <c r="C1399" s="11" t="s">
        <v>5</v>
      </c>
      <c r="D1399" s="16" t="str">
        <f>HYPERLINK("https://freddywills.com/pick/198/georgia-tech-10.html", "Georgia Tech +10")</f>
        <v>Georgia Tech +10</v>
      </c>
      <c r="E1399" s="11">
        <v>3.3</v>
      </c>
      <c r="F1399" s="11">
        <v>-1.1000000000000001</v>
      </c>
      <c r="G1399" s="11" t="s">
        <v>6</v>
      </c>
      <c r="H1399" s="13">
        <v>-3300</v>
      </c>
      <c r="I1399" s="14">
        <f t="shared" si="49"/>
        <v>2.4730000000000002E-2</v>
      </c>
      <c r="J1399" s="13">
        <f t="shared" si="50"/>
        <v>269354.28000000003</v>
      </c>
    </row>
    <row r="1400" spans="1:10" x14ac:dyDescent="0.25">
      <c r="A1400" s="10">
        <v>42632</v>
      </c>
      <c r="B1400" s="11" t="s">
        <v>2</v>
      </c>
      <c r="C1400" s="11" t="s">
        <v>5</v>
      </c>
      <c r="D1400" s="16" t="str">
        <f>HYPERLINK("https://freddywills.com/pick/199/bears-3-106-3-3.html", "Bears -3 -106 3.3%")</f>
        <v>Bears -3 -106 3.3%</v>
      </c>
      <c r="E1400" s="11">
        <v>3.3</v>
      </c>
      <c r="F1400" s="11">
        <v>-1.06</v>
      </c>
      <c r="G1400" s="11" t="s">
        <v>6</v>
      </c>
      <c r="H1400" s="13">
        <v>-3300</v>
      </c>
      <c r="I1400" s="14">
        <f t="shared" si="49"/>
        <v>5.7730000000000004E-2</v>
      </c>
      <c r="J1400" s="13">
        <f t="shared" si="50"/>
        <v>272654.28000000003</v>
      </c>
    </row>
    <row r="1401" spans="1:10" x14ac:dyDescent="0.25">
      <c r="A1401" s="10">
        <v>42631</v>
      </c>
      <c r="B1401" s="11" t="s">
        <v>2</v>
      </c>
      <c r="C1401" s="11" t="s">
        <v>5</v>
      </c>
      <c r="D1401" s="16" t="str">
        <f>HYPERLINK("https://freddywills.com/pick/200/rams-7-pod.html", "RAMS +7 POD")</f>
        <v>RAMS +7 POD</v>
      </c>
      <c r="E1401" s="11">
        <v>5.5</v>
      </c>
      <c r="F1401" s="11">
        <v>-1.1000000000000001</v>
      </c>
      <c r="G1401" s="11" t="s">
        <v>4</v>
      </c>
      <c r="H1401" s="13">
        <v>5000</v>
      </c>
      <c r="I1401" s="14">
        <f t="shared" si="49"/>
        <v>9.0730000000000005E-2</v>
      </c>
      <c r="J1401" s="13">
        <f t="shared" si="50"/>
        <v>275954.28000000003</v>
      </c>
    </row>
    <row r="1402" spans="1:10" x14ac:dyDescent="0.25">
      <c r="A1402" s="10">
        <v>42631</v>
      </c>
      <c r="B1402" s="11" t="s">
        <v>2</v>
      </c>
      <c r="C1402" s="11" t="s">
        <v>5</v>
      </c>
      <c r="D1402" s="16" t="str">
        <f>HYPERLINK("https://freddywills.com/pick/201/titans-6-105.html", "Titans +6 -105")</f>
        <v>Titans +6 -105</v>
      </c>
      <c r="E1402" s="11">
        <v>2.5</v>
      </c>
      <c r="F1402" s="11">
        <v>-1.1000000000000001</v>
      </c>
      <c r="G1402" s="11" t="s">
        <v>4</v>
      </c>
      <c r="H1402" s="13">
        <v>2273</v>
      </c>
      <c r="I1402" s="14">
        <f t="shared" si="49"/>
        <v>4.0730000000000002E-2</v>
      </c>
      <c r="J1402" s="13">
        <f t="shared" si="50"/>
        <v>270954.28000000003</v>
      </c>
    </row>
    <row r="1403" spans="1:10" x14ac:dyDescent="0.25">
      <c r="A1403" s="10">
        <v>42631</v>
      </c>
      <c r="B1403" s="11" t="s">
        <v>2</v>
      </c>
      <c r="C1403" s="11" t="s">
        <v>10</v>
      </c>
      <c r="D1403" s="16" t="str">
        <f>HYPERLINK("https://freddywills.com/pick/202/texans-4-5-vikings-8.html", "Texans +4.5 / Vikings +8")</f>
        <v>Texans +4.5 / Vikings +8</v>
      </c>
      <c r="E1403" s="11">
        <v>3.3</v>
      </c>
      <c r="F1403" s="11">
        <v>-1.1000000000000001</v>
      </c>
      <c r="G1403" s="11" t="s">
        <v>4</v>
      </c>
      <c r="H1403" s="13">
        <v>3000</v>
      </c>
      <c r="I1403" s="14">
        <f t="shared" si="49"/>
        <v>1.8000000000000002E-2</v>
      </c>
      <c r="J1403" s="13">
        <f t="shared" si="50"/>
        <v>268681.28000000003</v>
      </c>
    </row>
    <row r="1404" spans="1:10" x14ac:dyDescent="0.25">
      <c r="A1404" s="10">
        <v>42630</v>
      </c>
      <c r="B1404" s="11" t="s">
        <v>8</v>
      </c>
      <c r="C1404" s="11" t="s">
        <v>5</v>
      </c>
      <c r="D1404" s="16" t="str">
        <f>HYPERLINK("https://freddywills.com/pick/203/florida-state-1-3-3.html", "Florida State -1 3.3%")</f>
        <v>Florida State -1 3.3%</v>
      </c>
      <c r="E1404" s="11">
        <v>3.3</v>
      </c>
      <c r="F1404" s="11">
        <v>-1.1000000000000001</v>
      </c>
      <c r="G1404" s="11" t="s">
        <v>6</v>
      </c>
      <c r="H1404" s="13">
        <v>-3300</v>
      </c>
      <c r="I1404" s="14">
        <f t="shared" si="49"/>
        <v>-1.1999999999999997E-2</v>
      </c>
      <c r="J1404" s="13">
        <f t="shared" si="50"/>
        <v>265681.28000000003</v>
      </c>
    </row>
    <row r="1405" spans="1:10" x14ac:dyDescent="0.25">
      <c r="A1405" s="10">
        <v>42630</v>
      </c>
      <c r="B1405" s="11" t="s">
        <v>8</v>
      </c>
      <c r="C1405" s="11" t="s">
        <v>5</v>
      </c>
      <c r="D1405" s="16" t="str">
        <f>HYPERLINK("https://freddywills.com/pick/204/syracuse-14-5-4-4.html", "Syracuse +14.5 4.4%")</f>
        <v>Syracuse +14.5 4.4%</v>
      </c>
      <c r="E1405" s="11">
        <v>4.4000000000000004</v>
      </c>
      <c r="F1405" s="11">
        <v>-1.1000000000000001</v>
      </c>
      <c r="G1405" s="11" t="s">
        <v>6</v>
      </c>
      <c r="H1405" s="13">
        <v>-4400</v>
      </c>
      <c r="I1405" s="14">
        <f t="shared" si="49"/>
        <v>2.1000000000000005E-2</v>
      </c>
      <c r="J1405" s="13">
        <f t="shared" si="50"/>
        <v>268981.28000000003</v>
      </c>
    </row>
    <row r="1406" spans="1:10" x14ac:dyDescent="0.25">
      <c r="A1406" s="10">
        <v>42630</v>
      </c>
      <c r="B1406" s="11" t="s">
        <v>8</v>
      </c>
      <c r="C1406" s="11" t="s">
        <v>10</v>
      </c>
      <c r="D1406" s="16" t="str">
        <f>HYPERLINK("https://freddywills.com/pick/205/virginia-10-5-va-tech-pk-4-4-teaser.html", "Virginia +10.5 / VA Tech pk 4.4% Teaser")</f>
        <v>Virginia +10.5 / VA Tech pk 4.4% Teaser</v>
      </c>
      <c r="E1406" s="11">
        <v>4.4000000000000004</v>
      </c>
      <c r="F1406" s="11">
        <v>-1.1000000000000001</v>
      </c>
      <c r="G1406" s="11" t="s">
        <v>4</v>
      </c>
      <c r="H1406" s="13">
        <v>4000</v>
      </c>
      <c r="I1406" s="14">
        <f t="shared" si="49"/>
        <v>6.5000000000000002E-2</v>
      </c>
      <c r="J1406" s="13">
        <f t="shared" si="50"/>
        <v>273381.28000000003</v>
      </c>
    </row>
    <row r="1407" spans="1:10" x14ac:dyDescent="0.25">
      <c r="A1407" s="10">
        <v>42630</v>
      </c>
      <c r="B1407" s="11" t="s">
        <v>8</v>
      </c>
      <c r="C1407" s="11" t="s">
        <v>5</v>
      </c>
      <c r="D1407" s="16" t="str">
        <f>HYPERLINK("https://freddywills.com/pick/206/utep-4-3-3.html", "UTEP +4 3.3%")</f>
        <v>UTEP +4 3.3%</v>
      </c>
      <c r="E1407" s="11">
        <v>3.3</v>
      </c>
      <c r="F1407" s="11">
        <v>-1.1000000000000001</v>
      </c>
      <c r="G1407" s="11" t="s">
        <v>6</v>
      </c>
      <c r="H1407" s="13">
        <v>-3300</v>
      </c>
      <c r="I1407" s="14">
        <f t="shared" si="49"/>
        <v>2.4999999999999994E-2</v>
      </c>
      <c r="J1407" s="13">
        <f t="shared" si="50"/>
        <v>269381.28000000003</v>
      </c>
    </row>
    <row r="1408" spans="1:10" x14ac:dyDescent="0.25">
      <c r="A1408" s="10">
        <v>42630</v>
      </c>
      <c r="B1408" s="11" t="s">
        <v>8</v>
      </c>
      <c r="C1408" s="11" t="s">
        <v>5</v>
      </c>
      <c r="D1408" s="16" t="str">
        <f>HYPERLINK("https://freddywills.com/pick/207/missouri-6-5.html", "Missouri +6.5")</f>
        <v>Missouri +6.5</v>
      </c>
      <c r="E1408" s="11">
        <v>2.2000000000000002</v>
      </c>
      <c r="F1408" s="11">
        <v>-1.1000000000000001</v>
      </c>
      <c r="G1408" s="11" t="s">
        <v>4</v>
      </c>
      <c r="H1408" s="13">
        <v>2000</v>
      </c>
      <c r="I1408" s="14">
        <f t="shared" si="49"/>
        <v>5.7999999999999996E-2</v>
      </c>
      <c r="J1408" s="13">
        <f t="shared" si="50"/>
        <v>272681.28000000003</v>
      </c>
    </row>
    <row r="1409" spans="1:10" x14ac:dyDescent="0.25">
      <c r="A1409" s="10">
        <v>42630</v>
      </c>
      <c r="B1409" s="11" t="s">
        <v>8</v>
      </c>
      <c r="C1409" s="11" t="s">
        <v>5</v>
      </c>
      <c r="D1409" s="16" t="str">
        <f>HYPERLINK("https://freddywills.com/pick/208/michigan-state-8-pod.html", "Michigan State +8 POD")</f>
        <v>Michigan State +8 POD</v>
      </c>
      <c r="E1409" s="11">
        <v>5.5</v>
      </c>
      <c r="F1409" s="11">
        <v>-1.1000000000000001</v>
      </c>
      <c r="G1409" s="11" t="s">
        <v>4</v>
      </c>
      <c r="H1409" s="13">
        <v>5000</v>
      </c>
      <c r="I1409" s="14">
        <f t="shared" si="49"/>
        <v>3.7999999999999992E-2</v>
      </c>
      <c r="J1409" s="13">
        <f t="shared" si="50"/>
        <v>270681.28000000003</v>
      </c>
    </row>
    <row r="1410" spans="1:10" x14ac:dyDescent="0.25">
      <c r="A1410" s="10">
        <v>42630</v>
      </c>
      <c r="B1410" s="11" t="s">
        <v>2</v>
      </c>
      <c r="C1410" s="11" t="s">
        <v>5</v>
      </c>
      <c r="D1410" s="16" t="str">
        <f>HYPERLINK("https://freddywills.com/pick/209/colts-7-120.html", "Colts +7 -120")</f>
        <v>Colts +7 -120</v>
      </c>
      <c r="E1410" s="11">
        <v>3</v>
      </c>
      <c r="F1410" s="11">
        <v>-1.2</v>
      </c>
      <c r="G1410" s="11" t="s">
        <v>6</v>
      </c>
      <c r="H1410" s="13">
        <v>-3000</v>
      </c>
      <c r="I1410" s="14">
        <f t="shared" si="49"/>
        <v>-1.2000000000000014E-2</v>
      </c>
      <c r="J1410" s="13">
        <f t="shared" si="50"/>
        <v>265681.28000000003</v>
      </c>
    </row>
    <row r="1411" spans="1:10" x14ac:dyDescent="0.25">
      <c r="A1411" s="10">
        <v>42630</v>
      </c>
      <c r="B1411" s="11" t="s">
        <v>8</v>
      </c>
      <c r="C1411" s="11" t="s">
        <v>5</v>
      </c>
      <c r="D1411" s="16" t="str">
        <f>HYPERLINK("https://freddywills.com/pick/210/ohio-state-1-5.html", "Ohio State -1.5")</f>
        <v>Ohio State -1.5</v>
      </c>
      <c r="E1411" s="11">
        <v>2.2000000000000002</v>
      </c>
      <c r="F1411" s="11">
        <v>-1.1000000000000001</v>
      </c>
      <c r="G1411" s="11" t="s">
        <v>4</v>
      </c>
      <c r="H1411" s="13">
        <v>2000</v>
      </c>
      <c r="I1411" s="14">
        <f t="shared" si="49"/>
        <v>1.7999999999999985E-2</v>
      </c>
      <c r="J1411" s="13">
        <f t="shared" si="50"/>
        <v>268681.28000000003</v>
      </c>
    </row>
    <row r="1412" spans="1:10" x14ac:dyDescent="0.25">
      <c r="A1412" s="10">
        <v>42629</v>
      </c>
      <c r="B1412" s="11" t="s">
        <v>8</v>
      </c>
      <c r="C1412" s="11" t="s">
        <v>5</v>
      </c>
      <c r="D1412" s="16" t="str">
        <f>HYPERLINK("https://freddywills.com/pick/211/baylor-31-2-2-play.html", "Baylor -31 2.2% play")</f>
        <v>Baylor -31 2.2% play</v>
      </c>
      <c r="E1412" s="11">
        <v>2.2000000000000002</v>
      </c>
      <c r="F1412" s="11">
        <v>-1.1000000000000001</v>
      </c>
      <c r="G1412" s="11" t="s">
        <v>6</v>
      </c>
      <c r="H1412" s="13">
        <v>-2200</v>
      </c>
      <c r="I1412" s="14">
        <f t="shared" si="49"/>
        <v>-2.0000000000000157E-3</v>
      </c>
      <c r="J1412" s="13">
        <f t="shared" si="50"/>
        <v>266681.28000000003</v>
      </c>
    </row>
    <row r="1413" spans="1:10" x14ac:dyDescent="0.25">
      <c r="A1413" s="10">
        <v>42629</v>
      </c>
      <c r="B1413" s="11" t="s">
        <v>8</v>
      </c>
      <c r="C1413" s="11" t="s">
        <v>5</v>
      </c>
      <c r="D1413" s="16" t="str">
        <f>HYPERLINK("https://freddywills.com/pick/212/miami-hurricanes-3-5-1-1-free-play.html", "Miami Hurricanes -3.5 1.1% Free Play")</f>
        <v>Miami Hurricanes -3.5 1.1% Free Play</v>
      </c>
      <c r="E1413" s="11">
        <v>1.1000000000000001</v>
      </c>
      <c r="F1413" s="11">
        <v>-1.1000000000000001</v>
      </c>
      <c r="G1413" s="11" t="s">
        <v>4</v>
      </c>
      <c r="H1413" s="13">
        <v>1000</v>
      </c>
      <c r="I1413" s="14">
        <f t="shared" si="49"/>
        <v>1.9999999999999983E-2</v>
      </c>
      <c r="J1413" s="13">
        <f t="shared" si="50"/>
        <v>268881.28000000003</v>
      </c>
    </row>
    <row r="1414" spans="1:10" x14ac:dyDescent="0.25">
      <c r="A1414" s="10">
        <v>42628</v>
      </c>
      <c r="B1414" s="11" t="s">
        <v>8</v>
      </c>
      <c r="C1414" s="11" t="s">
        <v>5</v>
      </c>
      <c r="D1414" s="16" t="str">
        <f>HYPERLINK("https://freddywills.com/pick/213/cincinnati-8-5-3-3.html", "Cincinnati +8.5 3.3%")</f>
        <v>Cincinnati +8.5 3.3%</v>
      </c>
      <c r="E1414" s="11">
        <v>3.3</v>
      </c>
      <c r="F1414" s="11">
        <v>-1.1000000000000001</v>
      </c>
      <c r="G1414" s="11" t="s">
        <v>6</v>
      </c>
      <c r="H1414" s="13">
        <v>-3300</v>
      </c>
      <c r="I1414" s="14">
        <f t="shared" si="49"/>
        <v>9.9999999999999811E-3</v>
      </c>
      <c r="J1414" s="13">
        <f t="shared" si="50"/>
        <v>267881.28000000003</v>
      </c>
    </row>
    <row r="1415" spans="1:10" x14ac:dyDescent="0.25">
      <c r="A1415" s="10">
        <v>42625</v>
      </c>
      <c r="B1415" s="11" t="s">
        <v>2</v>
      </c>
      <c r="C1415" s="11" t="s">
        <v>5</v>
      </c>
      <c r="D1415" s="16" t="str">
        <f>HYPERLINK("https://freddywills.com/pick/214/redskins-2-3-3-play.html", "Redskins +2 3.3% play")</f>
        <v>Redskins +2 3.3% play</v>
      </c>
      <c r="E1415" s="11">
        <v>3.3</v>
      </c>
      <c r="F1415" s="11">
        <v>-1.1000000000000001</v>
      </c>
      <c r="G1415" s="11" t="s">
        <v>6</v>
      </c>
      <c r="H1415" s="13">
        <v>-3300</v>
      </c>
      <c r="I1415" s="14">
        <f t="shared" si="49"/>
        <v>4.2999999999999983E-2</v>
      </c>
      <c r="J1415" s="13">
        <f t="shared" si="50"/>
        <v>271181.28000000003</v>
      </c>
    </row>
    <row r="1416" spans="1:10" x14ac:dyDescent="0.25">
      <c r="A1416" s="10">
        <v>42624</v>
      </c>
      <c r="B1416" s="11" t="s">
        <v>2</v>
      </c>
      <c r="C1416" s="11" t="s">
        <v>10</v>
      </c>
      <c r="D1416" s="16" t="str">
        <f>HYPERLINK("https://freddywills.com/pick/215/jets-8-5-cardinals-1.html", "JETS +8.5 / CARDINALS -1")</f>
        <v>JETS +8.5 / CARDINALS -1</v>
      </c>
      <c r="E1416" s="11">
        <v>4.4000000000000004</v>
      </c>
      <c r="F1416" s="11">
        <v>-1.1000000000000001</v>
      </c>
      <c r="G1416" s="11" t="s">
        <v>6</v>
      </c>
      <c r="H1416" s="13">
        <v>-4400</v>
      </c>
      <c r="I1416" s="14">
        <f t="shared" si="49"/>
        <v>7.5999999999999984E-2</v>
      </c>
      <c r="J1416" s="13">
        <f t="shared" si="50"/>
        <v>274481.28000000003</v>
      </c>
    </row>
    <row r="1417" spans="1:10" x14ac:dyDescent="0.25">
      <c r="A1417" s="10">
        <v>42624</v>
      </c>
      <c r="B1417" s="11" t="s">
        <v>2</v>
      </c>
      <c r="C1417" s="11" t="s">
        <v>18</v>
      </c>
      <c r="D1417" s="16" t="str">
        <f>HYPERLINK("https://freddywills.com/pick/216/jaguars-4-5-pod.html", "Jaguars +4.5 POD")</f>
        <v>Jaguars +4.5 POD</v>
      </c>
      <c r="E1417" s="11">
        <v>5.5</v>
      </c>
      <c r="F1417" s="11">
        <v>-1.1000000000000001</v>
      </c>
      <c r="G1417" s="11" t="s">
        <v>4</v>
      </c>
      <c r="H1417" s="13">
        <v>5000</v>
      </c>
      <c r="I1417" s="14">
        <f t="shared" si="49"/>
        <v>0.11999999999999998</v>
      </c>
      <c r="J1417" s="13">
        <f t="shared" si="50"/>
        <v>278881.28000000003</v>
      </c>
    </row>
    <row r="1418" spans="1:10" x14ac:dyDescent="0.25">
      <c r="A1418" s="10">
        <v>42624</v>
      </c>
      <c r="B1418" s="11" t="s">
        <v>2</v>
      </c>
      <c r="C1418" s="11" t="s">
        <v>5</v>
      </c>
      <c r="D1418" s="16" t="str">
        <f>HYPERLINK("https://freddywills.com/pick/217/bears-4-5.html", "Bears +4.5")</f>
        <v>Bears +4.5</v>
      </c>
      <c r="E1418" s="11">
        <v>3.3</v>
      </c>
      <c r="F1418" s="11">
        <v>-1.1000000000000001</v>
      </c>
      <c r="G1418" s="11" t="s">
        <v>6</v>
      </c>
      <c r="H1418" s="13">
        <v>-3300</v>
      </c>
      <c r="I1418" s="14">
        <f t="shared" si="49"/>
        <v>6.9999999999999979E-2</v>
      </c>
      <c r="J1418" s="13">
        <f t="shared" si="50"/>
        <v>273881.28000000003</v>
      </c>
    </row>
    <row r="1419" spans="1:10" x14ac:dyDescent="0.25">
      <c r="A1419" s="10">
        <v>42624</v>
      </c>
      <c r="B1419" s="11" t="s">
        <v>2</v>
      </c>
      <c r="C1419" s="11" t="s">
        <v>18</v>
      </c>
      <c r="D1419" s="16" t="str">
        <f>HYPERLINK("https://freddywills.com/pick/218/cowboys-110-1.html", "Cowboys +110 1%")</f>
        <v>Cowboys +110 1%</v>
      </c>
      <c r="E1419" s="11">
        <v>1</v>
      </c>
      <c r="F1419" s="11">
        <v>1.1000000000000001</v>
      </c>
      <c r="G1419" s="11" t="s">
        <v>6</v>
      </c>
      <c r="H1419" s="13">
        <v>-1000</v>
      </c>
      <c r="I1419" s="14">
        <f t="shared" si="49"/>
        <v>0.10299999999999998</v>
      </c>
      <c r="J1419" s="13">
        <f t="shared" si="50"/>
        <v>277181.28000000003</v>
      </c>
    </row>
    <row r="1420" spans="1:10" x14ac:dyDescent="0.25">
      <c r="A1420" s="10">
        <v>42624</v>
      </c>
      <c r="B1420" s="11" t="s">
        <v>2</v>
      </c>
      <c r="C1420" s="11" t="s">
        <v>5</v>
      </c>
      <c r="D1420" s="16" t="str">
        <f>HYPERLINK("https://freddywills.com/pick/219/chargers-6-5.html", "Chargers +6.5")</f>
        <v>Chargers +6.5</v>
      </c>
      <c r="E1420" s="11">
        <v>2.2000000000000002</v>
      </c>
      <c r="F1420" s="11">
        <v>-1.1000000000000001</v>
      </c>
      <c r="G1420" s="11" t="s">
        <v>4</v>
      </c>
      <c r="H1420" s="13">
        <v>2000</v>
      </c>
      <c r="I1420" s="14">
        <f t="shared" si="49"/>
        <v>0.11299999999999998</v>
      </c>
      <c r="J1420" s="13">
        <f t="shared" si="50"/>
        <v>278181.28000000003</v>
      </c>
    </row>
    <row r="1421" spans="1:10" x14ac:dyDescent="0.25">
      <c r="A1421" s="10">
        <v>42624</v>
      </c>
      <c r="B1421" s="11" t="s">
        <v>2</v>
      </c>
      <c r="C1421" s="11" t="s">
        <v>5</v>
      </c>
      <c r="D1421" s="16" t="str">
        <f>HYPERLINK("https://freddywills.com/pick/220/browns-4.html", "Browns +4")</f>
        <v>Browns +4</v>
      </c>
      <c r="E1421" s="11">
        <v>2.2000000000000002</v>
      </c>
      <c r="F1421" s="11">
        <v>-1.1000000000000001</v>
      </c>
      <c r="G1421" s="11" t="s">
        <v>6</v>
      </c>
      <c r="H1421" s="13">
        <v>-2200</v>
      </c>
      <c r="I1421" s="14">
        <f t="shared" si="49"/>
        <v>9.2999999999999972E-2</v>
      </c>
      <c r="J1421" s="13">
        <f t="shared" si="50"/>
        <v>276181.28000000003</v>
      </c>
    </row>
    <row r="1422" spans="1:10" x14ac:dyDescent="0.25">
      <c r="A1422" s="10">
        <v>42623</v>
      </c>
      <c r="B1422" s="11" t="s">
        <v>8</v>
      </c>
      <c r="C1422" s="11" t="s">
        <v>5</v>
      </c>
      <c r="D1422" s="16" t="str">
        <f>HYPERLINK("https://freddywills.com/pick/221/washington-state-10-5-pod.html", "Washington State +10.5 POD")</f>
        <v>Washington State +10.5 POD</v>
      </c>
      <c r="E1422" s="11">
        <v>5.5</v>
      </c>
      <c r="F1422" s="11">
        <v>-1.1000000000000001</v>
      </c>
      <c r="G1422" s="11" t="s">
        <v>4</v>
      </c>
      <c r="H1422" s="13">
        <v>5000</v>
      </c>
      <c r="I1422" s="14">
        <f t="shared" si="49"/>
        <v>0.11499999999999998</v>
      </c>
      <c r="J1422" s="13">
        <f t="shared" si="50"/>
        <v>278381.28000000003</v>
      </c>
    </row>
    <row r="1423" spans="1:10" x14ac:dyDescent="0.25">
      <c r="A1423" s="10">
        <v>42623</v>
      </c>
      <c r="B1423" s="11" t="s">
        <v>8</v>
      </c>
      <c r="C1423" s="11" t="s">
        <v>5</v>
      </c>
      <c r="D1423" s="16" t="str">
        <f>HYPERLINK("https://freddywills.com/pick/222/rice-8-5-3-3.html", "Rice +8.5 3.3%")</f>
        <v>Rice +8.5 3.3%</v>
      </c>
      <c r="E1423" s="11">
        <v>3.3</v>
      </c>
      <c r="F1423" s="11">
        <v>-1.1000000000000001</v>
      </c>
      <c r="G1423" s="11" t="s">
        <v>6</v>
      </c>
      <c r="H1423" s="13">
        <v>-3300</v>
      </c>
      <c r="I1423" s="14">
        <f t="shared" si="49"/>
        <v>6.4999999999999974E-2</v>
      </c>
      <c r="J1423" s="13">
        <f t="shared" si="50"/>
        <v>273381.28000000003</v>
      </c>
    </row>
    <row r="1424" spans="1:10" x14ac:dyDescent="0.25">
      <c r="A1424" s="10">
        <v>42623</v>
      </c>
      <c r="B1424" s="11" t="s">
        <v>8</v>
      </c>
      <c r="C1424" s="11" t="s">
        <v>5</v>
      </c>
      <c r="D1424" s="16" t="str">
        <f>HYPERLINK("https://freddywills.com/pick/223/vtech-11-5.html", "VTECH +11.5")</f>
        <v>VTECH +11.5</v>
      </c>
      <c r="E1424" s="11">
        <v>3.3</v>
      </c>
      <c r="F1424" s="11">
        <v>-1.1000000000000001</v>
      </c>
      <c r="G1424" s="11" t="s">
        <v>6</v>
      </c>
      <c r="H1424" s="13">
        <v>-3300</v>
      </c>
      <c r="I1424" s="14">
        <f t="shared" si="49"/>
        <v>9.7999999999999976E-2</v>
      </c>
      <c r="J1424" s="13">
        <f t="shared" si="50"/>
        <v>276681.28000000003</v>
      </c>
    </row>
    <row r="1425" spans="1:10" x14ac:dyDescent="0.25">
      <c r="A1425" s="10">
        <v>42623</v>
      </c>
      <c r="B1425" s="11" t="s">
        <v>8</v>
      </c>
      <c r="C1425" s="11" t="s">
        <v>10</v>
      </c>
      <c r="D1425" s="16" t="str">
        <f>HYPERLINK("https://freddywills.com/pick/224/miss-state-1-unc-1-5-teaser.html", "Miss State -1 / UNC -1.5 Teaser")</f>
        <v>Miss State -1 / UNC -1.5 Teaser</v>
      </c>
      <c r="E1425" s="11">
        <v>4.4000000000000004</v>
      </c>
      <c r="F1425" s="11">
        <v>-1.1000000000000001</v>
      </c>
      <c r="G1425" s="11" t="s">
        <v>4</v>
      </c>
      <c r="H1425" s="13">
        <v>4000</v>
      </c>
      <c r="I1425" s="14">
        <f t="shared" si="49"/>
        <v>0.13099999999999998</v>
      </c>
      <c r="J1425" s="13">
        <f t="shared" si="50"/>
        <v>279981.28000000003</v>
      </c>
    </row>
    <row r="1426" spans="1:10" x14ac:dyDescent="0.25">
      <c r="A1426" s="10">
        <v>42623</v>
      </c>
      <c r="B1426" s="11" t="s">
        <v>8</v>
      </c>
      <c r="C1426" s="11" t="s">
        <v>7</v>
      </c>
      <c r="D1426" s="16" t="str">
        <f>HYPERLINK("https://freddywills.com/pick/225/utah-byu-u45.html", "Utah/BYU U45")</f>
        <v>Utah/BYU U45</v>
      </c>
      <c r="E1426" s="11">
        <v>2.2000000000000002</v>
      </c>
      <c r="F1426" s="11">
        <v>-1.1000000000000001</v>
      </c>
      <c r="G1426" s="11" t="s">
        <v>4</v>
      </c>
      <c r="H1426" s="13">
        <v>2000</v>
      </c>
      <c r="I1426" s="14">
        <f t="shared" si="49"/>
        <v>9.0999999999999984E-2</v>
      </c>
      <c r="J1426" s="13">
        <f t="shared" si="50"/>
        <v>275981.28000000003</v>
      </c>
    </row>
    <row r="1427" spans="1:10" x14ac:dyDescent="0.25">
      <c r="A1427" s="10">
        <v>42623</v>
      </c>
      <c r="B1427" s="11" t="s">
        <v>8</v>
      </c>
      <c r="C1427" s="11" t="s">
        <v>7</v>
      </c>
      <c r="D1427" s="16" t="str">
        <f>HYPERLINK("https://freddywills.com/pick/226/tcu-arkansas-u58-5.html", "TCU / Arkansas U58.5")</f>
        <v>TCU / Arkansas U58.5</v>
      </c>
      <c r="E1427" s="11">
        <v>2.2000000000000002</v>
      </c>
      <c r="F1427" s="11">
        <v>-1.1000000000000001</v>
      </c>
      <c r="G1427" s="11" t="s">
        <v>6</v>
      </c>
      <c r="H1427" s="13">
        <v>-2200</v>
      </c>
      <c r="I1427" s="14">
        <f t="shared" si="49"/>
        <v>7.099999999999998E-2</v>
      </c>
      <c r="J1427" s="13">
        <f t="shared" si="50"/>
        <v>273981.28000000003</v>
      </c>
    </row>
    <row r="1428" spans="1:10" x14ac:dyDescent="0.25">
      <c r="A1428" s="10">
        <v>42622</v>
      </c>
      <c r="B1428" s="11" t="s">
        <v>8</v>
      </c>
      <c r="C1428" s="11" t="s">
        <v>5</v>
      </c>
      <c r="D1428" s="16" t="str">
        <f>HYPERLINK("https://freddywills.com/pick/227/syracuse-14-5.html", "Syracuse +14.5")</f>
        <v>Syracuse +14.5</v>
      </c>
      <c r="E1428" s="11">
        <v>4.4000000000000004</v>
      </c>
      <c r="F1428" s="11">
        <v>-1.1000000000000001</v>
      </c>
      <c r="G1428" s="11" t="s">
        <v>6</v>
      </c>
      <c r="H1428" s="13">
        <v>-4400</v>
      </c>
      <c r="I1428" s="14">
        <f t="shared" si="49"/>
        <v>9.2999999999999985E-2</v>
      </c>
      <c r="J1428" s="13">
        <f t="shared" si="50"/>
        <v>276181.28000000003</v>
      </c>
    </row>
    <row r="1429" spans="1:10" x14ac:dyDescent="0.25">
      <c r="A1429" s="10">
        <v>42622</v>
      </c>
      <c r="B1429" s="11" t="s">
        <v>8</v>
      </c>
      <c r="C1429" s="11" t="s">
        <v>5</v>
      </c>
      <c r="D1429" s="16" t="str">
        <f>HYPERLINK("https://freddywills.com/pick/228/fiu-10-5.html", "FIU +10.5")</f>
        <v>FIU +10.5</v>
      </c>
      <c r="E1429" s="11">
        <v>1.1000000000000001</v>
      </c>
      <c r="F1429" s="11">
        <v>-1.1000000000000001</v>
      </c>
      <c r="G1429" s="11" t="s">
        <v>6</v>
      </c>
      <c r="H1429" s="13">
        <v>-1100</v>
      </c>
      <c r="I1429" s="14">
        <f t="shared" si="49"/>
        <v>0.13699999999999998</v>
      </c>
      <c r="J1429" s="13">
        <f t="shared" si="50"/>
        <v>280581.28000000003</v>
      </c>
    </row>
    <row r="1430" spans="1:10" x14ac:dyDescent="0.25">
      <c r="A1430" s="10">
        <v>42622</v>
      </c>
      <c r="B1430" s="11" t="s">
        <v>8</v>
      </c>
      <c r="C1430" s="11" t="s">
        <v>18</v>
      </c>
      <c r="D1430" s="16" t="str">
        <f>HYPERLINK("https://freddywills.com/pick/229/syracuse-480.html", "Syracuse +480")</f>
        <v>Syracuse +480</v>
      </c>
      <c r="E1430" s="11">
        <v>0.5</v>
      </c>
      <c r="F1430" s="11">
        <v>4.8</v>
      </c>
      <c r="G1430" s="11" t="s">
        <v>6</v>
      </c>
      <c r="H1430" s="13">
        <v>-500</v>
      </c>
      <c r="I1430" s="14">
        <f t="shared" si="49"/>
        <v>0.14799999999999999</v>
      </c>
      <c r="J1430" s="13">
        <f t="shared" si="50"/>
        <v>281681.28000000003</v>
      </c>
    </row>
    <row r="1431" spans="1:10" x14ac:dyDescent="0.25">
      <c r="A1431" s="10">
        <v>42621</v>
      </c>
      <c r="B1431" s="11" t="s">
        <v>2</v>
      </c>
      <c r="C1431" s="11" t="s">
        <v>5</v>
      </c>
      <c r="D1431" s="16" t="str">
        <f>HYPERLINK("https://freddywills.com/pick/230/broncos-3-2-2.html", "Broncos +3 2.2%")</f>
        <v>Broncos +3 2.2%</v>
      </c>
      <c r="E1431" s="11">
        <v>2.2000000000000002</v>
      </c>
      <c r="F1431" s="11">
        <v>-1.1000000000000001</v>
      </c>
      <c r="G1431" s="11" t="s">
        <v>4</v>
      </c>
      <c r="H1431" s="13">
        <v>2000</v>
      </c>
      <c r="I1431" s="14">
        <f t="shared" si="49"/>
        <v>0.153</v>
      </c>
      <c r="J1431" s="13">
        <f t="shared" si="50"/>
        <v>282181.28000000003</v>
      </c>
    </row>
    <row r="1432" spans="1:10" x14ac:dyDescent="0.25">
      <c r="A1432" s="10">
        <v>42618</v>
      </c>
      <c r="B1432" s="11" t="s">
        <v>8</v>
      </c>
      <c r="C1432" s="11" t="s">
        <v>5</v>
      </c>
      <c r="D1432" s="16" t="str">
        <f>HYPERLINK("https://freddywills.com/pick/231/florida-state-6.html", "Florida State -6")</f>
        <v>Florida State -6</v>
      </c>
      <c r="E1432" s="11">
        <v>3.3</v>
      </c>
      <c r="F1432" s="11">
        <v>-1.1000000000000001</v>
      </c>
      <c r="G1432" s="11" t="s">
        <v>4</v>
      </c>
      <c r="H1432" s="13">
        <v>3000</v>
      </c>
      <c r="I1432" s="14">
        <f t="shared" si="49"/>
        <v>0.13300000000000001</v>
      </c>
      <c r="J1432" s="13">
        <f t="shared" si="50"/>
        <v>280181.28000000003</v>
      </c>
    </row>
    <row r="1433" spans="1:10" x14ac:dyDescent="0.25">
      <c r="A1433" s="10">
        <v>42617</v>
      </c>
      <c r="B1433" s="11" t="s">
        <v>8</v>
      </c>
      <c r="C1433" s="11" t="s">
        <v>5</v>
      </c>
      <c r="D1433" s="16" t="str">
        <f>HYPERLINK("https://freddywills.com/pick/232/texas-4-5-3-3-play.html", "Texas +4.5 3.3% play")</f>
        <v>Texas +4.5 3.3% play</v>
      </c>
      <c r="E1433" s="11">
        <v>3.3</v>
      </c>
      <c r="F1433" s="11">
        <v>-1.1000000000000001</v>
      </c>
      <c r="G1433" s="11" t="s">
        <v>4</v>
      </c>
      <c r="H1433" s="13">
        <v>3000</v>
      </c>
      <c r="I1433" s="14">
        <f t="shared" si="49"/>
        <v>0.10300000000000001</v>
      </c>
      <c r="J1433" s="13">
        <f t="shared" si="50"/>
        <v>277181.28000000003</v>
      </c>
    </row>
    <row r="1434" spans="1:10" x14ac:dyDescent="0.25">
      <c r="A1434" s="10">
        <v>42616</v>
      </c>
      <c r="B1434" s="11" t="s">
        <v>8</v>
      </c>
      <c r="C1434" s="11" t="s">
        <v>5</v>
      </c>
      <c r="D1434" s="16" t="str">
        <f>HYPERLINK("https://freddywills.com/pick/233/missouri-10-5-pod.html", "Missouri +10.5 POD")</f>
        <v>Missouri +10.5 POD</v>
      </c>
      <c r="E1434" s="11">
        <v>5.5</v>
      </c>
      <c r="F1434" s="11">
        <v>-1.1000000000000001</v>
      </c>
      <c r="G1434" s="11" t="s">
        <v>6</v>
      </c>
      <c r="H1434" s="13">
        <v>-5500</v>
      </c>
      <c r="I1434" s="14">
        <f t="shared" si="49"/>
        <v>7.3000000000000009E-2</v>
      </c>
      <c r="J1434" s="13">
        <f t="shared" si="50"/>
        <v>274181.28000000003</v>
      </c>
    </row>
    <row r="1435" spans="1:10" x14ac:dyDescent="0.25">
      <c r="A1435" s="10">
        <v>42616</v>
      </c>
      <c r="B1435" s="11" t="s">
        <v>8</v>
      </c>
      <c r="C1435" s="11" t="s">
        <v>7</v>
      </c>
      <c r="D1435" s="16" t="str">
        <f>HYPERLINK("https://freddywills.com/pick/234/ucla-tx-am-u55-2-2.html", "UCLA/TX AM U55 2.2%")</f>
        <v>UCLA/TX AM U55 2.2%</v>
      </c>
      <c r="E1435" s="11">
        <v>2.2000000000000002</v>
      </c>
      <c r="F1435" s="11">
        <v>-1.1000000000000001</v>
      </c>
      <c r="G1435" s="11" t="s">
        <v>9</v>
      </c>
      <c r="H1435" s="13">
        <v>0</v>
      </c>
      <c r="I1435" s="14">
        <f t="shared" si="49"/>
        <v>0.128</v>
      </c>
      <c r="J1435" s="13">
        <f t="shared" si="50"/>
        <v>279681.28000000003</v>
      </c>
    </row>
    <row r="1436" spans="1:10" x14ac:dyDescent="0.25">
      <c r="A1436" s="10">
        <v>42616</v>
      </c>
      <c r="B1436" s="11" t="s">
        <v>8</v>
      </c>
      <c r="C1436" s="11" t="s">
        <v>5</v>
      </c>
      <c r="D1436" s="16" t="str">
        <f>HYPERLINK("https://freddywills.com/pick/235/houston-12-5.html", "Houston +12.5")</f>
        <v>Houston +12.5</v>
      </c>
      <c r="E1436" s="11">
        <v>3.3</v>
      </c>
      <c r="F1436" s="11">
        <v>-1.1000000000000001</v>
      </c>
      <c r="G1436" s="11" t="s">
        <v>4</v>
      </c>
      <c r="H1436" s="13">
        <v>3000</v>
      </c>
      <c r="I1436" s="14">
        <f t="shared" si="49"/>
        <v>0.128</v>
      </c>
      <c r="J1436" s="13">
        <f t="shared" si="50"/>
        <v>279681.28000000003</v>
      </c>
    </row>
    <row r="1437" spans="1:10" x14ac:dyDescent="0.25">
      <c r="A1437" s="10">
        <v>42616</v>
      </c>
      <c r="B1437" s="11" t="s">
        <v>8</v>
      </c>
      <c r="C1437" s="11" t="s">
        <v>5</v>
      </c>
      <c r="D1437" s="16" t="str">
        <f>HYPERLINK("https://freddywills.com/pick/236/auburn-8.html", "Auburn +8")</f>
        <v>Auburn +8</v>
      </c>
      <c r="E1437" s="11">
        <v>4.4000000000000004</v>
      </c>
      <c r="F1437" s="11">
        <v>-1.1000000000000001</v>
      </c>
      <c r="G1437" s="11" t="s">
        <v>4</v>
      </c>
      <c r="H1437" s="13">
        <v>4000</v>
      </c>
      <c r="I1437" s="14">
        <f t="shared" ref="I1437:I1442" si="51">(H1437/100000)+I1438</f>
        <v>9.8000000000000004E-2</v>
      </c>
      <c r="J1437" s="13">
        <f t="shared" si="50"/>
        <v>276681.28000000003</v>
      </c>
    </row>
    <row r="1438" spans="1:10" x14ac:dyDescent="0.25">
      <c r="A1438" s="10">
        <v>42615</v>
      </c>
      <c r="B1438" s="11" t="s">
        <v>8</v>
      </c>
      <c r="C1438" s="11" t="s">
        <v>5</v>
      </c>
      <c r="D1438" s="16" t="str">
        <f>HYPERLINK("https://freddywills.com/pick/237/wyoming-10.html", "Wyoming +10")</f>
        <v>Wyoming +10</v>
      </c>
      <c r="E1438" s="11">
        <v>1.1000000000000001</v>
      </c>
      <c r="F1438" s="11">
        <v>-1.1000000000000001</v>
      </c>
      <c r="G1438" s="11" t="s">
        <v>4</v>
      </c>
      <c r="H1438" s="13">
        <v>1000</v>
      </c>
      <c r="I1438" s="14">
        <f t="shared" si="51"/>
        <v>5.8000000000000003E-2</v>
      </c>
      <c r="J1438" s="13">
        <f t="shared" si="50"/>
        <v>272681.28000000003</v>
      </c>
    </row>
    <row r="1439" spans="1:10" x14ac:dyDescent="0.25">
      <c r="A1439" s="10">
        <v>42615</v>
      </c>
      <c r="B1439" s="11" t="s">
        <v>8</v>
      </c>
      <c r="C1439" s="11" t="s">
        <v>5</v>
      </c>
      <c r="D1439" s="16" t="str">
        <f>HYPERLINK("https://freddywills.com/pick/238/army-15-ncaaf-pod.html", "Army +15 NCAAF POD")</f>
        <v>Army +15 NCAAF POD</v>
      </c>
      <c r="E1439" s="11">
        <v>4.4000000000000004</v>
      </c>
      <c r="F1439" s="11">
        <v>-1.1000000000000001</v>
      </c>
      <c r="G1439" s="11" t="s">
        <v>4</v>
      </c>
      <c r="H1439" s="13">
        <v>4000</v>
      </c>
      <c r="I1439" s="14">
        <f t="shared" si="51"/>
        <v>4.8000000000000001E-2</v>
      </c>
      <c r="J1439" s="13">
        <f t="shared" si="50"/>
        <v>271681.28000000003</v>
      </c>
    </row>
    <row r="1440" spans="1:10" x14ac:dyDescent="0.25">
      <c r="A1440" s="10">
        <v>42614</v>
      </c>
      <c r="B1440" s="11" t="s">
        <v>8</v>
      </c>
      <c r="C1440" s="11" t="s">
        <v>7</v>
      </c>
      <c r="D1440" s="16" t="str">
        <f>HYPERLINK("https://freddywills.com/pick/239/south-carolina-vanderbilt-u42-5.html", "South Carolina/Vanderbilt U42.5")</f>
        <v>South Carolina/Vanderbilt U42.5</v>
      </c>
      <c r="E1440" s="11">
        <v>1.1000000000000001</v>
      </c>
      <c r="F1440" s="11">
        <v>-1.1000000000000001</v>
      </c>
      <c r="G1440" s="11" t="s">
        <v>4</v>
      </c>
      <c r="H1440" s="13">
        <v>1000</v>
      </c>
      <c r="I1440" s="14">
        <f t="shared" si="51"/>
        <v>8.0000000000000019E-3</v>
      </c>
      <c r="J1440" s="13">
        <f t="shared" si="50"/>
        <v>267681.28000000003</v>
      </c>
    </row>
    <row r="1441" spans="1:10" x14ac:dyDescent="0.25">
      <c r="A1441" s="10">
        <v>42614</v>
      </c>
      <c r="B1441" s="11" t="s">
        <v>8</v>
      </c>
      <c r="C1441" s="11" t="s">
        <v>18</v>
      </c>
      <c r="D1441" s="16" t="str">
        <f>HYPERLINK("https://freddywills.com/pick/240/fiu-9.html", "FIU +9")</f>
        <v>FIU +9</v>
      </c>
      <c r="E1441" s="11">
        <v>2.2000000000000002</v>
      </c>
      <c r="F1441" s="11">
        <v>-1.1000000000000001</v>
      </c>
      <c r="G1441" s="11" t="s">
        <v>6</v>
      </c>
      <c r="H1441" s="13">
        <v>-2200</v>
      </c>
      <c r="I1441" s="14">
        <f t="shared" si="51"/>
        <v>-1.9999999999999983E-3</v>
      </c>
      <c r="J1441" s="13">
        <f>H1441+J1442</f>
        <v>266681.28000000003</v>
      </c>
    </row>
    <row r="1442" spans="1:10" x14ac:dyDescent="0.25">
      <c r="A1442" s="10">
        <v>42608</v>
      </c>
      <c r="B1442" s="11" t="s">
        <v>8</v>
      </c>
      <c r="C1442" s="11" t="s">
        <v>5</v>
      </c>
      <c r="D1442" s="16" t="str">
        <f>HYPERLINK("https://freddywills.com/pick/241/hawaii-20-5.html", "Hawaii +20.5")</f>
        <v>Hawaii +20.5</v>
      </c>
      <c r="E1442" s="11">
        <v>2.2000000000000002</v>
      </c>
      <c r="F1442" s="11">
        <v>-1.1000000000000001</v>
      </c>
      <c r="G1442" s="11" t="s">
        <v>4</v>
      </c>
      <c r="H1442" s="13">
        <v>2000</v>
      </c>
      <c r="I1442" s="14">
        <f>H1442/100000</f>
        <v>0.02</v>
      </c>
      <c r="J1442" s="13">
        <f>H1442+J1445</f>
        <v>268881.28000000003</v>
      </c>
    </row>
    <row r="1443" spans="1:10" x14ac:dyDescent="0.25">
      <c r="A1443" s="17" t="s">
        <v>22</v>
      </c>
      <c r="B1443" s="18"/>
      <c r="C1443" s="18"/>
      <c r="D1443" s="18"/>
      <c r="E1443" s="18"/>
      <c r="F1443" s="18"/>
      <c r="G1443" s="18"/>
      <c r="H1443" s="18"/>
      <c r="I1443" s="19">
        <v>100000</v>
      </c>
      <c r="J1443" s="17"/>
    </row>
    <row r="1444" spans="1:10" x14ac:dyDescent="0.25">
      <c r="A1444" s="8" t="s">
        <v>20</v>
      </c>
      <c r="B1444" s="9"/>
      <c r="C1444" s="9"/>
      <c r="D1444" s="9"/>
      <c r="E1444" s="9"/>
      <c r="F1444" s="9"/>
      <c r="G1444" s="9"/>
      <c r="H1444" s="9"/>
      <c r="I1444" s="9"/>
      <c r="J1444" s="9"/>
    </row>
    <row r="1445" spans="1:10" x14ac:dyDescent="0.25">
      <c r="A1445" s="10">
        <v>42407</v>
      </c>
      <c r="B1445" s="11" t="s">
        <v>2</v>
      </c>
      <c r="C1445" s="11" t="s">
        <v>18</v>
      </c>
      <c r="D1445" s="16" t="str">
        <f>HYPERLINK("https://freddywills.com/pick/251/broncos-197.html", "Broncos +197")</f>
        <v>Broncos +197</v>
      </c>
      <c r="E1445" s="11">
        <v>1</v>
      </c>
      <c r="F1445" s="11">
        <v>1.97</v>
      </c>
      <c r="G1445" s="11" t="s">
        <v>4</v>
      </c>
      <c r="H1445" s="13">
        <v>1970</v>
      </c>
      <c r="I1445" s="14">
        <f t="shared" ref="I1445:I1508" si="52">(H1445/100000)+I1446</f>
        <v>2.0138100000000134E-2</v>
      </c>
      <c r="J1445" s="13">
        <f t="shared" ref="J1445:J1508" si="53">H1445+J1446</f>
        <v>266881.28000000003</v>
      </c>
    </row>
    <row r="1446" spans="1:10" x14ac:dyDescent="0.25">
      <c r="A1446" s="10">
        <v>42407</v>
      </c>
      <c r="B1446" s="11" t="s">
        <v>2</v>
      </c>
      <c r="C1446" s="11" t="s">
        <v>3</v>
      </c>
      <c r="D1446" s="16" t="str">
        <f>HYPERLINK("https://freddywills.com/pick/252/see-site-for-props.html", "see site for props")</f>
        <v>see site for props</v>
      </c>
      <c r="E1446" s="11">
        <v>5.5</v>
      </c>
      <c r="F1446" s="11">
        <v>-1.1000000000000001</v>
      </c>
      <c r="G1446" s="11" t="s">
        <v>6</v>
      </c>
      <c r="H1446" s="13">
        <v>-3500</v>
      </c>
      <c r="I1446" s="14">
        <f t="shared" si="52"/>
        <v>4.381000000001356E-4</v>
      </c>
      <c r="J1446" s="13">
        <f t="shared" si="53"/>
        <v>264911.28000000003</v>
      </c>
    </row>
    <row r="1447" spans="1:10" x14ac:dyDescent="0.25">
      <c r="A1447" s="10">
        <v>42407</v>
      </c>
      <c r="B1447" s="11" t="s">
        <v>2</v>
      </c>
      <c r="C1447" s="11" t="s">
        <v>3</v>
      </c>
      <c r="D1447" s="16" t="str">
        <f>HYPERLINK("https://freddywills.com/pick/253/prop-package-2.html", "prop package #2")</f>
        <v>prop package #2</v>
      </c>
      <c r="E1447" s="11">
        <v>7.35</v>
      </c>
      <c r="F1447" s="11">
        <v>-1.1000000000000001</v>
      </c>
      <c r="G1447" s="11" t="s">
        <v>4</v>
      </c>
      <c r="H1447" s="13">
        <v>2000</v>
      </c>
      <c r="I1447" s="14">
        <f t="shared" si="52"/>
        <v>3.5438100000000139E-2</v>
      </c>
      <c r="J1447" s="13">
        <f t="shared" si="53"/>
        <v>268411.28000000003</v>
      </c>
    </row>
    <row r="1448" spans="1:10" x14ac:dyDescent="0.25">
      <c r="A1448" s="10">
        <v>42395</v>
      </c>
      <c r="B1448" s="11" t="s">
        <v>2</v>
      </c>
      <c r="C1448" s="11" t="s">
        <v>5</v>
      </c>
      <c r="D1448" s="16" t="str">
        <f>HYPERLINK("https://freddywills.com/pick/254/broncos-6.html", "Broncos +6")</f>
        <v>Broncos +6</v>
      </c>
      <c r="E1448" s="11">
        <v>5.5</v>
      </c>
      <c r="F1448" s="11">
        <v>5.5</v>
      </c>
      <c r="G1448" s="11" t="s">
        <v>4</v>
      </c>
      <c r="H1448" s="13">
        <v>5000</v>
      </c>
      <c r="I1448" s="14">
        <f t="shared" si="52"/>
        <v>1.5438100000000135E-2</v>
      </c>
      <c r="J1448" s="13">
        <f t="shared" si="53"/>
        <v>266411.28000000003</v>
      </c>
    </row>
    <row r="1449" spans="1:10" x14ac:dyDescent="0.25">
      <c r="A1449" s="10">
        <v>42393</v>
      </c>
      <c r="B1449" s="11" t="s">
        <v>2</v>
      </c>
      <c r="C1449" s="11" t="s">
        <v>5</v>
      </c>
      <c r="D1449" s="16" t="str">
        <f>HYPERLINK("https://freddywills.com/pick/255/broncos-3-5-120.html", "Broncos +3.5 -120")</f>
        <v>Broncos +3.5 -120</v>
      </c>
      <c r="E1449" s="11">
        <v>3.5</v>
      </c>
      <c r="F1449" s="11">
        <v>-1.2</v>
      </c>
      <c r="G1449" s="11" t="s">
        <v>4</v>
      </c>
      <c r="H1449" s="13">
        <v>2916.67</v>
      </c>
      <c r="I1449" s="14">
        <f t="shared" si="52"/>
        <v>-3.4561899999999868E-2</v>
      </c>
      <c r="J1449" s="13">
        <f t="shared" si="53"/>
        <v>261411.28</v>
      </c>
    </row>
    <row r="1450" spans="1:10" x14ac:dyDescent="0.25">
      <c r="A1450" s="10">
        <v>42393</v>
      </c>
      <c r="B1450" s="11" t="s">
        <v>2</v>
      </c>
      <c r="C1450" s="11" t="s">
        <v>5</v>
      </c>
      <c r="D1450" s="16" t="str">
        <f>HYPERLINK("https://freddywills.com/pick/256/packers-7.html", "Packers -7")</f>
        <v>Packers -7</v>
      </c>
      <c r="E1450" s="11">
        <v>1.1000000000000001</v>
      </c>
      <c r="F1450" s="11">
        <v>-1.1000000000000001</v>
      </c>
      <c r="G1450" s="11" t="s">
        <v>4</v>
      </c>
      <c r="H1450" s="13">
        <v>1000</v>
      </c>
      <c r="I1450" s="14">
        <f t="shared" si="52"/>
        <v>-6.3728599999999871E-2</v>
      </c>
      <c r="J1450" s="13">
        <f t="shared" si="53"/>
        <v>258494.61</v>
      </c>
    </row>
    <row r="1451" spans="1:10" x14ac:dyDescent="0.25">
      <c r="A1451" s="10">
        <v>42386</v>
      </c>
      <c r="B1451" s="11" t="s">
        <v>2</v>
      </c>
      <c r="C1451" s="11" t="s">
        <v>5</v>
      </c>
      <c r="D1451" s="16" t="str">
        <f>HYPERLINK("https://freddywills.com/pick/257/panthers-2.html", "Panthers -2")</f>
        <v>Panthers -2</v>
      </c>
      <c r="E1451" s="11">
        <v>5.5</v>
      </c>
      <c r="F1451" s="11">
        <v>-1.1000000000000001</v>
      </c>
      <c r="G1451" s="11" t="s">
        <v>4</v>
      </c>
      <c r="H1451" s="13">
        <v>5000</v>
      </c>
      <c r="I1451" s="14">
        <f t="shared" si="52"/>
        <v>-7.3728599999999866E-2</v>
      </c>
      <c r="J1451" s="13">
        <f t="shared" si="53"/>
        <v>257494.61</v>
      </c>
    </row>
    <row r="1452" spans="1:10" x14ac:dyDescent="0.25">
      <c r="A1452" s="10">
        <v>42385</v>
      </c>
      <c r="B1452" s="11" t="s">
        <v>2</v>
      </c>
      <c r="C1452" s="11" t="s">
        <v>5</v>
      </c>
      <c r="D1452" s="16" t="str">
        <f>HYPERLINK("https://freddywills.com/pick/258/patriots-4-5.html", "Patriots -4.5")</f>
        <v>Patriots -4.5</v>
      </c>
      <c r="E1452" s="11">
        <v>5.5</v>
      </c>
      <c r="F1452" s="11">
        <v>-1.1000000000000001</v>
      </c>
      <c r="G1452" s="11" t="s">
        <v>4</v>
      </c>
      <c r="H1452" s="13">
        <v>5000</v>
      </c>
      <c r="I1452" s="14">
        <f t="shared" si="52"/>
        <v>-0.12372859999999987</v>
      </c>
      <c r="J1452" s="13">
        <f t="shared" si="53"/>
        <v>252494.61</v>
      </c>
    </row>
    <row r="1453" spans="1:10" x14ac:dyDescent="0.25">
      <c r="A1453" s="10">
        <v>42385</v>
      </c>
      <c r="B1453" s="11" t="s">
        <v>2</v>
      </c>
      <c r="C1453" s="11" t="s">
        <v>10</v>
      </c>
      <c r="D1453" s="16" t="str">
        <f>HYPERLINK("https://freddywills.com/pick/259/cardinals-1-broncos-1.html", "Cardinals -1 / Broncos -1")</f>
        <v>Cardinals -1 / Broncos -1</v>
      </c>
      <c r="E1453" s="11">
        <v>4.4000000000000004</v>
      </c>
      <c r="F1453" s="11">
        <v>-1.1000000000000001</v>
      </c>
      <c r="G1453" s="11" t="s">
        <v>4</v>
      </c>
      <c r="H1453" s="13">
        <v>4000</v>
      </c>
      <c r="I1453" s="14">
        <f t="shared" si="52"/>
        <v>-0.17372859999999987</v>
      </c>
      <c r="J1453" s="13">
        <f t="shared" si="53"/>
        <v>247494.61</v>
      </c>
    </row>
    <row r="1454" spans="1:10" x14ac:dyDescent="0.25">
      <c r="A1454" s="10">
        <v>42380</v>
      </c>
      <c r="B1454" s="11" t="s">
        <v>8</v>
      </c>
      <c r="C1454" s="11" t="s">
        <v>5</v>
      </c>
      <c r="D1454" s="16" t="str">
        <f>HYPERLINK("https://freddywills.com/pick/260/clemson-7-5-5-pod.html", "Clemson +7 5.5* pod")</f>
        <v>Clemson +7 5.5* pod</v>
      </c>
      <c r="E1454" s="11">
        <v>5.5</v>
      </c>
      <c r="F1454" s="11">
        <v>-1.1000000000000001</v>
      </c>
      <c r="G1454" s="11" t="s">
        <v>4</v>
      </c>
      <c r="H1454" s="13">
        <v>5000</v>
      </c>
      <c r="I1454" s="14">
        <f t="shared" si="52"/>
        <v>-0.21372859999999988</v>
      </c>
      <c r="J1454" s="13">
        <f t="shared" si="53"/>
        <v>243494.61</v>
      </c>
    </row>
    <row r="1455" spans="1:10" x14ac:dyDescent="0.25">
      <c r="A1455" s="10">
        <v>42379</v>
      </c>
      <c r="B1455" s="11" t="s">
        <v>2</v>
      </c>
      <c r="C1455" s="11" t="s">
        <v>18</v>
      </c>
      <c r="D1455" s="16" t="str">
        <f>HYPERLINK("https://freddywills.com/pick/261/redskins-110.html", "Redskins -110")</f>
        <v>Redskins -110</v>
      </c>
      <c r="E1455" s="11">
        <v>5.5</v>
      </c>
      <c r="F1455" s="11">
        <v>-1.1000000000000001</v>
      </c>
      <c r="G1455" s="11" t="s">
        <v>6</v>
      </c>
      <c r="H1455" s="13">
        <v>-5500</v>
      </c>
      <c r="I1455" s="14">
        <f t="shared" si="52"/>
        <v>-0.26372859999999987</v>
      </c>
      <c r="J1455" s="13">
        <f t="shared" si="53"/>
        <v>238494.61</v>
      </c>
    </row>
    <row r="1456" spans="1:10" x14ac:dyDescent="0.25">
      <c r="A1456" s="10">
        <v>42379</v>
      </c>
      <c r="B1456" s="11" t="s">
        <v>2</v>
      </c>
      <c r="C1456" s="11" t="s">
        <v>10</v>
      </c>
      <c r="D1456" s="16" t="str">
        <f>HYPERLINK("https://freddywills.com/pick/262/vikings-10-5-under-46-5.html", "Vikings +10.5 / Under 46.5")</f>
        <v>Vikings +10.5 / Under 46.5</v>
      </c>
      <c r="E1456" s="11">
        <v>3.3</v>
      </c>
      <c r="F1456" s="11">
        <v>-1.1000000000000001</v>
      </c>
      <c r="G1456" s="11" t="s">
        <v>4</v>
      </c>
      <c r="H1456" s="13">
        <v>3000</v>
      </c>
      <c r="I1456" s="14">
        <f t="shared" si="52"/>
        <v>-0.20872859999999988</v>
      </c>
      <c r="J1456" s="13">
        <f t="shared" si="53"/>
        <v>243994.61</v>
      </c>
    </row>
    <row r="1457" spans="1:10" x14ac:dyDescent="0.25">
      <c r="A1457" s="10">
        <v>42378</v>
      </c>
      <c r="B1457" s="11" t="s">
        <v>2</v>
      </c>
      <c r="C1457" s="11" t="s">
        <v>5</v>
      </c>
      <c r="D1457" s="16" t="str">
        <f>HYPERLINK("https://freddywills.com/pick/263/chiefs-3.html", "Chiefs -3")</f>
        <v>Chiefs -3</v>
      </c>
      <c r="E1457" s="11">
        <v>3.3</v>
      </c>
      <c r="F1457" s="11">
        <v>-1.1000000000000001</v>
      </c>
      <c r="G1457" s="11" t="s">
        <v>4</v>
      </c>
      <c r="H1457" s="13">
        <v>3000</v>
      </c>
      <c r="I1457" s="14">
        <f t="shared" si="52"/>
        <v>-0.23872859999999987</v>
      </c>
      <c r="J1457" s="13">
        <f t="shared" si="53"/>
        <v>240994.61</v>
      </c>
    </row>
    <row r="1458" spans="1:10" x14ac:dyDescent="0.25">
      <c r="A1458" s="10">
        <v>42378</v>
      </c>
      <c r="B1458" s="11" t="s">
        <v>2</v>
      </c>
      <c r="C1458" s="11" t="s">
        <v>18</v>
      </c>
      <c r="D1458" s="16" t="str">
        <f>HYPERLINK("https://freddywills.com/pick/264/bengals-120.html", "Bengals +120")</f>
        <v>Bengals +120</v>
      </c>
      <c r="E1458" s="11">
        <v>4</v>
      </c>
      <c r="F1458" s="11">
        <v>1.2</v>
      </c>
      <c r="G1458" s="11" t="s">
        <v>6</v>
      </c>
      <c r="H1458" s="13">
        <v>-4000</v>
      </c>
      <c r="I1458" s="14">
        <f t="shared" si="52"/>
        <v>-0.26872859999999987</v>
      </c>
      <c r="J1458" s="13">
        <f t="shared" si="53"/>
        <v>237994.61</v>
      </c>
    </row>
    <row r="1459" spans="1:10" x14ac:dyDescent="0.25">
      <c r="A1459" s="10">
        <v>42372</v>
      </c>
      <c r="B1459" s="11" t="s">
        <v>2</v>
      </c>
      <c r="C1459" s="11" t="s">
        <v>5</v>
      </c>
      <c r="D1459" s="16" t="str">
        <f>HYPERLINK("https://freddywills.com/pick/265/lions-1.html", "LIONS -1")</f>
        <v>LIONS -1</v>
      </c>
      <c r="E1459" s="11">
        <v>5.5</v>
      </c>
      <c r="F1459" s="11">
        <v>-1.1000000000000001</v>
      </c>
      <c r="G1459" s="11" t="s">
        <v>4</v>
      </c>
      <c r="H1459" s="13">
        <v>5000</v>
      </c>
      <c r="I1459" s="14">
        <f t="shared" si="52"/>
        <v>-0.22872859999999989</v>
      </c>
      <c r="J1459" s="13">
        <f t="shared" si="53"/>
        <v>241994.61</v>
      </c>
    </row>
    <row r="1460" spans="1:10" x14ac:dyDescent="0.25">
      <c r="A1460" s="10">
        <v>42372</v>
      </c>
      <c r="B1460" s="11" t="s">
        <v>2</v>
      </c>
      <c r="C1460" s="11" t="s">
        <v>5</v>
      </c>
      <c r="D1460" s="16" t="str">
        <f>HYPERLINK("https://freddywills.com/pick/266/49ers-3-5.html", "49ers +3.5")</f>
        <v>49ers +3.5</v>
      </c>
      <c r="E1460" s="11">
        <v>3.3</v>
      </c>
      <c r="F1460" s="11">
        <v>-1.1000000000000001</v>
      </c>
      <c r="G1460" s="11" t="s">
        <v>4</v>
      </c>
      <c r="H1460" s="13">
        <v>3000</v>
      </c>
      <c r="I1460" s="14">
        <f t="shared" si="52"/>
        <v>-0.27872859999999988</v>
      </c>
      <c r="J1460" s="13">
        <f t="shared" si="53"/>
        <v>236994.61</v>
      </c>
    </row>
    <row r="1461" spans="1:10" x14ac:dyDescent="0.25">
      <c r="A1461" s="10">
        <v>42372</v>
      </c>
      <c r="B1461" s="11" t="s">
        <v>2</v>
      </c>
      <c r="C1461" s="11" t="s">
        <v>5</v>
      </c>
      <c r="D1461" s="16" t="str">
        <f>HYPERLINK("https://freddywills.com/pick/267/jaguars-6-5.html", "Jaguars +6.5")</f>
        <v>Jaguars +6.5</v>
      </c>
      <c r="E1461" s="11">
        <v>3.3</v>
      </c>
      <c r="F1461" s="11">
        <v>-1.1000000000000001</v>
      </c>
      <c r="G1461" s="11" t="s">
        <v>6</v>
      </c>
      <c r="H1461" s="13">
        <v>-3300</v>
      </c>
      <c r="I1461" s="14">
        <f t="shared" si="52"/>
        <v>-0.30872859999999991</v>
      </c>
      <c r="J1461" s="13">
        <f t="shared" si="53"/>
        <v>233994.61</v>
      </c>
    </row>
    <row r="1462" spans="1:10" x14ac:dyDescent="0.25">
      <c r="A1462" s="10">
        <v>42372</v>
      </c>
      <c r="B1462" s="11" t="s">
        <v>2</v>
      </c>
      <c r="C1462" s="11" t="s">
        <v>5</v>
      </c>
      <c r="D1462" s="16" t="str">
        <f>HYPERLINK("https://freddywills.com/pick/268/chargers-10-3-3-play.html", "Chargers +10 3.3* play")</f>
        <v>Chargers +10 3.3* play</v>
      </c>
      <c r="E1462" s="11">
        <v>3.3</v>
      </c>
      <c r="F1462" s="11">
        <v>-1.1000000000000001</v>
      </c>
      <c r="G1462" s="11" t="s">
        <v>4</v>
      </c>
      <c r="H1462" s="13">
        <v>3000</v>
      </c>
      <c r="I1462" s="14">
        <f t="shared" si="52"/>
        <v>-0.27572859999999988</v>
      </c>
      <c r="J1462" s="13">
        <f t="shared" si="53"/>
        <v>237294.61</v>
      </c>
    </row>
    <row r="1463" spans="1:10" x14ac:dyDescent="0.25">
      <c r="A1463" s="10">
        <v>42371</v>
      </c>
      <c r="B1463" s="11" t="s">
        <v>8</v>
      </c>
      <c r="C1463" s="11" t="s">
        <v>5</v>
      </c>
      <c r="D1463" s="16" t="str">
        <f>HYPERLINK("https://freddywills.com/pick/269/penn-state-6-5.html", "Penn State +6.5")</f>
        <v>Penn State +6.5</v>
      </c>
      <c r="E1463" s="11">
        <v>2.2000000000000002</v>
      </c>
      <c r="F1463" s="11">
        <v>-1.1000000000000001</v>
      </c>
      <c r="G1463" s="11" t="s">
        <v>6</v>
      </c>
      <c r="H1463" s="13">
        <v>-2200</v>
      </c>
      <c r="I1463" s="14">
        <f t="shared" si="52"/>
        <v>-0.30572859999999991</v>
      </c>
      <c r="J1463" s="13">
        <f t="shared" si="53"/>
        <v>234294.61</v>
      </c>
    </row>
    <row r="1464" spans="1:10" x14ac:dyDescent="0.25">
      <c r="A1464" s="10">
        <v>42371</v>
      </c>
      <c r="B1464" s="11" t="s">
        <v>8</v>
      </c>
      <c r="C1464" s="11" t="s">
        <v>5</v>
      </c>
      <c r="D1464" s="16" t="str">
        <f>HYPERLINK("https://freddywills.com/pick/270/kansas-state-13.html", "Kansas State +13")</f>
        <v>Kansas State +13</v>
      </c>
      <c r="E1464" s="11">
        <v>3.3</v>
      </c>
      <c r="F1464" s="11">
        <v>-1.1000000000000001</v>
      </c>
      <c r="G1464" s="11" t="s">
        <v>6</v>
      </c>
      <c r="H1464" s="13">
        <v>-3300</v>
      </c>
      <c r="I1464" s="14">
        <f t="shared" si="52"/>
        <v>-0.28372859999999989</v>
      </c>
      <c r="J1464" s="13">
        <f t="shared" si="53"/>
        <v>236494.61</v>
      </c>
    </row>
    <row r="1465" spans="1:10" x14ac:dyDescent="0.25">
      <c r="A1465" s="10">
        <v>42371</v>
      </c>
      <c r="B1465" s="11" t="s">
        <v>8</v>
      </c>
      <c r="C1465" s="11" t="s">
        <v>5</v>
      </c>
      <c r="D1465" s="16" t="str">
        <f>HYPERLINK("https://freddywills.com/pick/271/west-virginia-1.html", "West Virginia -1")</f>
        <v>West Virginia -1</v>
      </c>
      <c r="E1465" s="11">
        <v>3.3</v>
      </c>
      <c r="F1465" s="11">
        <v>-1.1000000000000001</v>
      </c>
      <c r="G1465" s="11" t="s">
        <v>9</v>
      </c>
      <c r="H1465" s="13">
        <v>0</v>
      </c>
      <c r="I1465" s="14">
        <f t="shared" si="52"/>
        <v>-0.25072859999999986</v>
      </c>
      <c r="J1465" s="13">
        <f t="shared" si="53"/>
        <v>239794.61</v>
      </c>
    </row>
    <row r="1466" spans="1:10" x14ac:dyDescent="0.25">
      <c r="A1466" s="10">
        <v>42370</v>
      </c>
      <c r="B1466" s="11" t="s">
        <v>2</v>
      </c>
      <c r="C1466" s="11" t="s">
        <v>18</v>
      </c>
      <c r="D1466" s="16" t="str">
        <f>HYPERLINK("https://freddywills.com/pick/272/raiders-125.html", "Raiders +125")</f>
        <v>Raiders +125</v>
      </c>
      <c r="E1466" s="11">
        <v>5.5</v>
      </c>
      <c r="F1466" s="11">
        <v>1.25</v>
      </c>
      <c r="G1466" s="11" t="s">
        <v>6</v>
      </c>
      <c r="H1466" s="13">
        <v>-5500</v>
      </c>
      <c r="I1466" s="14">
        <f t="shared" si="52"/>
        <v>-0.25072859999999986</v>
      </c>
      <c r="J1466" s="13">
        <f t="shared" si="53"/>
        <v>239794.61</v>
      </c>
    </row>
    <row r="1467" spans="1:10" x14ac:dyDescent="0.25">
      <c r="A1467" s="10">
        <v>42370</v>
      </c>
      <c r="B1467" s="11" t="s">
        <v>8</v>
      </c>
      <c r="C1467" s="11" t="s">
        <v>5</v>
      </c>
      <c r="D1467" s="16" t="str">
        <f>HYPERLINK("https://freddywills.com/pick/273/wisconsin-3-5.html", "Wisconsin +3.5")</f>
        <v>Wisconsin +3.5</v>
      </c>
      <c r="E1467" s="11">
        <v>3.3</v>
      </c>
      <c r="F1467" s="11">
        <v>-1.1000000000000001</v>
      </c>
      <c r="G1467" s="11" t="s">
        <v>4</v>
      </c>
      <c r="H1467" s="13">
        <v>3000</v>
      </c>
      <c r="I1467" s="14">
        <f t="shared" si="52"/>
        <v>-0.19572859999999984</v>
      </c>
      <c r="J1467" s="13">
        <f t="shared" si="53"/>
        <v>245294.61</v>
      </c>
    </row>
    <row r="1468" spans="1:10" x14ac:dyDescent="0.25">
      <c r="A1468" s="10">
        <v>42370</v>
      </c>
      <c r="B1468" s="11" t="s">
        <v>8</v>
      </c>
      <c r="C1468" s="11" t="s">
        <v>5</v>
      </c>
      <c r="D1468" s="16" t="str">
        <f>HYPERLINK("https://freddywills.com/pick/274/florida-4-5-170.html", "Florida +4.5 /+170")</f>
        <v>Florida +4.5 /+170</v>
      </c>
      <c r="E1468" s="11">
        <v>6.5</v>
      </c>
      <c r="F1468" s="11">
        <v>1.7</v>
      </c>
      <c r="G1468" s="11" t="s">
        <v>6</v>
      </c>
      <c r="H1468" s="13">
        <v>-6500</v>
      </c>
      <c r="I1468" s="14">
        <f t="shared" si="52"/>
        <v>-0.22572859999999983</v>
      </c>
      <c r="J1468" s="13">
        <f t="shared" si="53"/>
        <v>242294.61</v>
      </c>
    </row>
    <row r="1469" spans="1:10" x14ac:dyDescent="0.25">
      <c r="A1469" s="10">
        <v>42370</v>
      </c>
      <c r="B1469" s="11" t="s">
        <v>8</v>
      </c>
      <c r="C1469" s="11" t="s">
        <v>5</v>
      </c>
      <c r="D1469" s="16" t="str">
        <f>HYPERLINK("https://freddywills.com/pick/275/clemson-4.html", "Clemson +4")</f>
        <v>Clemson +4</v>
      </c>
      <c r="E1469" s="11">
        <v>5.5</v>
      </c>
      <c r="F1469" s="11">
        <v>-1.1000000000000001</v>
      </c>
      <c r="G1469" s="11" t="s">
        <v>4</v>
      </c>
      <c r="H1469" s="13">
        <v>5000</v>
      </c>
      <c r="I1469" s="14">
        <f t="shared" si="52"/>
        <v>-0.16072859999999983</v>
      </c>
      <c r="J1469" s="13">
        <f t="shared" si="53"/>
        <v>248794.61</v>
      </c>
    </row>
    <row r="1470" spans="1:10" x14ac:dyDescent="0.25">
      <c r="A1470" s="10">
        <v>42370</v>
      </c>
      <c r="B1470" s="11" t="s">
        <v>8</v>
      </c>
      <c r="C1470" s="11" t="s">
        <v>5</v>
      </c>
      <c r="D1470" s="16" t="str">
        <f>HYPERLINK("https://freddywills.com/pick/276/michigan-state-10.html", "Michigan State +10")</f>
        <v>Michigan State +10</v>
      </c>
      <c r="E1470" s="11">
        <v>3.3</v>
      </c>
      <c r="F1470" s="11">
        <v>-1.1000000000000001</v>
      </c>
      <c r="G1470" s="11" t="s">
        <v>6</v>
      </c>
      <c r="H1470" s="13">
        <v>-3300</v>
      </c>
      <c r="I1470" s="14">
        <f t="shared" si="52"/>
        <v>-0.21072859999999985</v>
      </c>
      <c r="J1470" s="13">
        <f t="shared" si="53"/>
        <v>243794.61</v>
      </c>
    </row>
    <row r="1471" spans="1:10" x14ac:dyDescent="0.25">
      <c r="A1471" s="10">
        <v>42370</v>
      </c>
      <c r="B1471" s="11" t="s">
        <v>8</v>
      </c>
      <c r="C1471" s="11" t="s">
        <v>5</v>
      </c>
      <c r="D1471" s="16" t="str">
        <f>HYPERLINK("https://freddywills.com/pick/277/iowa-6-5-iowa-200.html", "Iowa +6.5 / Iowa +200")</f>
        <v>Iowa +6.5 / Iowa +200</v>
      </c>
      <c r="E1471" s="11">
        <v>5.4</v>
      </c>
      <c r="F1471" s="11">
        <v>-1.1000000000000001</v>
      </c>
      <c r="G1471" s="11" t="s">
        <v>6</v>
      </c>
      <c r="H1471" s="13">
        <v>-5400</v>
      </c>
      <c r="I1471" s="14">
        <f t="shared" si="52"/>
        <v>-0.17772859999999985</v>
      </c>
      <c r="J1471" s="13">
        <f t="shared" si="53"/>
        <v>247094.61</v>
      </c>
    </row>
    <row r="1472" spans="1:10" x14ac:dyDescent="0.25">
      <c r="A1472" s="10">
        <v>42370</v>
      </c>
      <c r="B1472" s="11" t="s">
        <v>8</v>
      </c>
      <c r="C1472" s="11" t="s">
        <v>10</v>
      </c>
      <c r="D1472" s="16" t="str">
        <f>HYPERLINK("https://freddywills.com/pick/278/ole-miss-1-tenn-2.html", "Ole Miss -1/Tenn -2")</f>
        <v>Ole Miss -1/Tenn -2</v>
      </c>
      <c r="E1472" s="11">
        <v>4.4000000000000004</v>
      </c>
      <c r="F1472" s="11">
        <v>-1.1000000000000001</v>
      </c>
      <c r="G1472" s="11" t="s">
        <v>4</v>
      </c>
      <c r="H1472" s="13">
        <v>4000</v>
      </c>
      <c r="I1472" s="14">
        <f t="shared" si="52"/>
        <v>-0.12372859999999986</v>
      </c>
      <c r="J1472" s="13">
        <f t="shared" si="53"/>
        <v>252494.61</v>
      </c>
    </row>
    <row r="1473" spans="1:10" x14ac:dyDescent="0.25">
      <c r="A1473" s="10">
        <v>42370</v>
      </c>
      <c r="B1473" s="11" t="s">
        <v>8</v>
      </c>
      <c r="C1473" s="11" t="s">
        <v>5</v>
      </c>
      <c r="D1473" s="16" t="str">
        <f>HYPERLINK("https://freddywills.com/pick/279/ohio-state-6.html", "Ohio State -6")</f>
        <v>Ohio State -6</v>
      </c>
      <c r="E1473" s="11">
        <v>1.1000000000000001</v>
      </c>
      <c r="F1473" s="11">
        <v>-1.1000000000000001</v>
      </c>
      <c r="G1473" s="11" t="s">
        <v>4</v>
      </c>
      <c r="H1473" s="13">
        <v>1000</v>
      </c>
      <c r="I1473" s="14">
        <f t="shared" si="52"/>
        <v>-0.16372859999999986</v>
      </c>
      <c r="J1473" s="13">
        <f t="shared" si="53"/>
        <v>248494.61</v>
      </c>
    </row>
    <row r="1474" spans="1:10" x14ac:dyDescent="0.25">
      <c r="A1474" s="10">
        <v>42368</v>
      </c>
      <c r="B1474" s="11" t="s">
        <v>8</v>
      </c>
      <c r="C1474" s="11" t="s">
        <v>7</v>
      </c>
      <c r="D1474" s="16" t="str">
        <f>HYPERLINK("https://freddywills.com/pick/280/memphis-auburn-o62.html", "Memphis/Auburn o62")</f>
        <v>Memphis/Auburn o62</v>
      </c>
      <c r="E1474" s="11">
        <v>2.2000000000000002</v>
      </c>
      <c r="F1474" s="11">
        <v>-1.1000000000000001</v>
      </c>
      <c r="G1474" s="11" t="s">
        <v>6</v>
      </c>
      <c r="H1474" s="13">
        <v>-2200</v>
      </c>
      <c r="I1474" s="14">
        <f t="shared" si="52"/>
        <v>-0.17372859999999987</v>
      </c>
      <c r="J1474" s="13">
        <f t="shared" si="53"/>
        <v>247494.61</v>
      </c>
    </row>
    <row r="1475" spans="1:10" x14ac:dyDescent="0.25">
      <c r="A1475" s="10">
        <v>42368</v>
      </c>
      <c r="B1475" s="11" t="s">
        <v>8</v>
      </c>
      <c r="C1475" s="11" t="s">
        <v>5</v>
      </c>
      <c r="D1475" s="16" t="str">
        <f>HYPERLINK("https://freddywills.com/pick/281/nc-state-6-5.html", "NC State +6.5")</f>
        <v>NC State +6.5</v>
      </c>
      <c r="E1475" s="11">
        <v>4.4000000000000004</v>
      </c>
      <c r="F1475" s="11">
        <v>-1.1000000000000001</v>
      </c>
      <c r="G1475" s="11" t="s">
        <v>6</v>
      </c>
      <c r="H1475" s="13">
        <v>-4400</v>
      </c>
      <c r="I1475" s="14">
        <f t="shared" si="52"/>
        <v>-0.15172859999999988</v>
      </c>
      <c r="J1475" s="13">
        <f t="shared" si="53"/>
        <v>249694.61</v>
      </c>
    </row>
    <row r="1476" spans="1:10" x14ac:dyDescent="0.25">
      <c r="A1476" s="10">
        <v>42367</v>
      </c>
      <c r="B1476" s="11" t="s">
        <v>8</v>
      </c>
      <c r="C1476" s="11" t="s">
        <v>5</v>
      </c>
      <c r="D1476" s="16" t="str">
        <f>HYPERLINK("https://freddywills.com/pick/282/baylor-3-5.html", "Baylor +3.5")</f>
        <v>Baylor +3.5</v>
      </c>
      <c r="E1476" s="11">
        <v>5.5</v>
      </c>
      <c r="F1476" s="11">
        <v>-1.1000000000000001</v>
      </c>
      <c r="G1476" s="11" t="s">
        <v>4</v>
      </c>
      <c r="H1476" s="13">
        <v>5000</v>
      </c>
      <c r="I1476" s="14">
        <f t="shared" si="52"/>
        <v>-0.10772859999999988</v>
      </c>
      <c r="J1476" s="13">
        <f t="shared" si="53"/>
        <v>254094.61</v>
      </c>
    </row>
    <row r="1477" spans="1:10" x14ac:dyDescent="0.25">
      <c r="A1477" s="10">
        <v>42367</v>
      </c>
      <c r="B1477" s="11" t="s">
        <v>8</v>
      </c>
      <c r="C1477" s="11" t="s">
        <v>5</v>
      </c>
      <c r="D1477" s="16" t="str">
        <f>HYPERLINK("https://freddywills.com/pick/283/air-force-7.html", "Air Force +7")</f>
        <v>Air Force +7</v>
      </c>
      <c r="E1477" s="11">
        <v>2.2000000000000002</v>
      </c>
      <c r="F1477" s="11">
        <v>-1.1000000000000001</v>
      </c>
      <c r="G1477" s="11" t="s">
        <v>6</v>
      </c>
      <c r="H1477" s="13">
        <v>-2200</v>
      </c>
      <c r="I1477" s="14">
        <f t="shared" si="52"/>
        <v>-0.15772859999999989</v>
      </c>
      <c r="J1477" s="13">
        <f t="shared" si="53"/>
        <v>249094.61</v>
      </c>
    </row>
    <row r="1478" spans="1:10" x14ac:dyDescent="0.25">
      <c r="A1478" s="10">
        <v>42367</v>
      </c>
      <c r="B1478" s="11" t="s">
        <v>8</v>
      </c>
      <c r="C1478" s="11" t="s">
        <v>5</v>
      </c>
      <c r="D1478" s="16" t="str">
        <f>HYPERLINK("https://freddywills.com/pick/284/col-st-3.html", "Col St -3")</f>
        <v>Col St -3</v>
      </c>
      <c r="E1478" s="11">
        <v>1.1000000000000001</v>
      </c>
      <c r="F1478" s="11">
        <v>-1.1000000000000001</v>
      </c>
      <c r="G1478" s="11" t="s">
        <v>6</v>
      </c>
      <c r="H1478" s="13">
        <v>-1100</v>
      </c>
      <c r="I1478" s="14">
        <f t="shared" si="52"/>
        <v>-0.13572859999999989</v>
      </c>
      <c r="J1478" s="13">
        <f t="shared" si="53"/>
        <v>251294.61</v>
      </c>
    </row>
    <row r="1479" spans="1:10" x14ac:dyDescent="0.25">
      <c r="A1479" s="10">
        <v>42367</v>
      </c>
      <c r="B1479" s="11" t="s">
        <v>8</v>
      </c>
      <c r="C1479" s="11" t="s">
        <v>7</v>
      </c>
      <c r="D1479" s="16" t="str">
        <f>HYPERLINK("https://freddywills.com/pick/285/lsu-texas-tech-u74.html", "LSU/Texas Tech U74")</f>
        <v>LSU/Texas Tech U74</v>
      </c>
      <c r="E1479" s="11">
        <v>3.3</v>
      </c>
      <c r="F1479" s="11">
        <v>-1.1000000000000001</v>
      </c>
      <c r="G1479" s="11" t="s">
        <v>6</v>
      </c>
      <c r="H1479" s="13">
        <v>-3300</v>
      </c>
      <c r="I1479" s="14">
        <f t="shared" si="52"/>
        <v>-0.12472859999999988</v>
      </c>
      <c r="J1479" s="13">
        <f t="shared" si="53"/>
        <v>252394.61</v>
      </c>
    </row>
    <row r="1480" spans="1:10" x14ac:dyDescent="0.25">
      <c r="A1480" s="10">
        <v>42366</v>
      </c>
      <c r="B1480" s="11" t="s">
        <v>8</v>
      </c>
      <c r="C1480" s="11" t="s">
        <v>5</v>
      </c>
      <c r="D1480" s="16" t="str">
        <f>HYPERLINK("https://freddywills.com/pick/286/pitt-3.html", "Pitt +3")</f>
        <v>Pitt +3</v>
      </c>
      <c r="E1480" s="11">
        <v>3.3</v>
      </c>
      <c r="F1480" s="11">
        <v>-1.1000000000000001</v>
      </c>
      <c r="G1480" s="11" t="s">
        <v>6</v>
      </c>
      <c r="H1480" s="13">
        <v>-3300</v>
      </c>
      <c r="I1480" s="14">
        <f t="shared" si="52"/>
        <v>-9.1728599999999882E-2</v>
      </c>
      <c r="J1480" s="13">
        <f t="shared" si="53"/>
        <v>255694.61</v>
      </c>
    </row>
    <row r="1481" spans="1:10" x14ac:dyDescent="0.25">
      <c r="A1481" s="10">
        <v>42366</v>
      </c>
      <c r="B1481" s="11" t="s">
        <v>8</v>
      </c>
      <c r="C1481" s="11" t="s">
        <v>5</v>
      </c>
      <c r="D1481" s="16" t="str">
        <f>HYPERLINK("https://freddywills.com/pick/287/minnesota-6-102.html", "Minnesota -6 -102")</f>
        <v>Minnesota -6 -102</v>
      </c>
      <c r="E1481" s="11">
        <v>3.5</v>
      </c>
      <c r="F1481" s="11">
        <v>-1.1000000000000001</v>
      </c>
      <c r="G1481" s="11" t="s">
        <v>4</v>
      </c>
      <c r="H1481" s="13">
        <v>3181.82</v>
      </c>
      <c r="I1481" s="14">
        <f t="shared" si="52"/>
        <v>-5.8728599999999881E-2</v>
      </c>
      <c r="J1481" s="13">
        <f t="shared" si="53"/>
        <v>258994.61</v>
      </c>
    </row>
    <row r="1482" spans="1:10" x14ac:dyDescent="0.25">
      <c r="A1482" s="10">
        <v>42365</v>
      </c>
      <c r="B1482" s="11" t="s">
        <v>2</v>
      </c>
      <c r="C1482" s="11" t="s">
        <v>5</v>
      </c>
      <c r="D1482" s="16" t="str">
        <f>HYPERLINK("https://freddywills.com/pick/288/browns-11-5.html", "Browns +11.5")</f>
        <v>Browns +11.5</v>
      </c>
      <c r="E1482" s="11">
        <v>5.5</v>
      </c>
      <c r="F1482" s="11">
        <v>-1.1000000000000001</v>
      </c>
      <c r="G1482" s="11" t="s">
        <v>4</v>
      </c>
      <c r="H1482" s="13">
        <v>5000</v>
      </c>
      <c r="I1482" s="14">
        <f t="shared" si="52"/>
        <v>-9.0546799999999886E-2</v>
      </c>
      <c r="J1482" s="13">
        <f t="shared" si="53"/>
        <v>255812.78999999998</v>
      </c>
    </row>
    <row r="1483" spans="1:10" x14ac:dyDescent="0.25">
      <c r="A1483" s="10">
        <v>42365</v>
      </c>
      <c r="B1483" s="11" t="s">
        <v>2</v>
      </c>
      <c r="C1483" s="11" t="s">
        <v>5</v>
      </c>
      <c r="D1483" s="16" t="str">
        <f>HYPERLINK("https://freddywills.com/pick/289/falcons-7-120.html", "Falcons +7 -120")</f>
        <v>Falcons +7 -120</v>
      </c>
      <c r="E1483" s="11">
        <v>3</v>
      </c>
      <c r="F1483" s="11">
        <v>-1.1000000000000001</v>
      </c>
      <c r="G1483" s="11" t="s">
        <v>4</v>
      </c>
      <c r="H1483" s="13">
        <v>2727.27</v>
      </c>
      <c r="I1483" s="14">
        <f t="shared" si="52"/>
        <v>-0.14054679999999989</v>
      </c>
      <c r="J1483" s="13">
        <f t="shared" si="53"/>
        <v>250812.78999999998</v>
      </c>
    </row>
    <row r="1484" spans="1:10" x14ac:dyDescent="0.25">
      <c r="A1484" s="10">
        <v>42365</v>
      </c>
      <c r="B1484" s="11" t="s">
        <v>2</v>
      </c>
      <c r="C1484" s="11" t="s">
        <v>18</v>
      </c>
      <c r="D1484" s="16" t="str">
        <f>HYPERLINK("https://freddywills.com/pick/290/falcons-260.html", "Falcons +260")</f>
        <v>Falcons +260</v>
      </c>
      <c r="E1484" s="11">
        <v>1</v>
      </c>
      <c r="F1484" s="11">
        <v>2.6</v>
      </c>
      <c r="G1484" s="11" t="s">
        <v>4</v>
      </c>
      <c r="H1484" s="13">
        <v>2600</v>
      </c>
      <c r="I1484" s="14">
        <f t="shared" si="52"/>
        <v>-0.1678194999999999</v>
      </c>
      <c r="J1484" s="13">
        <f t="shared" si="53"/>
        <v>248085.52</v>
      </c>
    </row>
    <row r="1485" spans="1:10" x14ac:dyDescent="0.25">
      <c r="A1485" s="10">
        <v>42365</v>
      </c>
      <c r="B1485" s="11" t="s">
        <v>2</v>
      </c>
      <c r="C1485" s="11" t="s">
        <v>5</v>
      </c>
      <c r="D1485" s="16" t="str">
        <f>HYPERLINK("https://freddywills.com/pick/291/tampa-3.html", "Tampa -3")</f>
        <v>Tampa -3</v>
      </c>
      <c r="E1485" s="11">
        <v>3.3</v>
      </c>
      <c r="F1485" s="11">
        <v>-1.1000000000000001</v>
      </c>
      <c r="G1485" s="11" t="s">
        <v>6</v>
      </c>
      <c r="H1485" s="13">
        <v>-3300</v>
      </c>
      <c r="I1485" s="14">
        <f t="shared" si="52"/>
        <v>-0.19381949999999989</v>
      </c>
      <c r="J1485" s="13">
        <f t="shared" si="53"/>
        <v>245485.52</v>
      </c>
    </row>
    <row r="1486" spans="1:10" x14ac:dyDescent="0.25">
      <c r="A1486" s="10">
        <v>42364</v>
      </c>
      <c r="B1486" s="11" t="s">
        <v>8</v>
      </c>
      <c r="C1486" s="11" t="s">
        <v>7</v>
      </c>
      <c r="D1486" s="16" t="str">
        <f>HYPERLINK("https://freddywills.com/pick/292/smiss-wash-u55.html", "Smiss/ Wash U55")</f>
        <v>Smiss/ Wash U55</v>
      </c>
      <c r="E1486" s="11">
        <v>4.4000000000000004</v>
      </c>
      <c r="F1486" s="11">
        <v>-1.1000000000000001</v>
      </c>
      <c r="G1486" s="11" t="s">
        <v>6</v>
      </c>
      <c r="H1486" s="13">
        <v>-4400</v>
      </c>
      <c r="I1486" s="14">
        <f t="shared" si="52"/>
        <v>-0.16081949999999989</v>
      </c>
      <c r="J1486" s="13">
        <f t="shared" si="53"/>
        <v>248785.52</v>
      </c>
    </row>
    <row r="1487" spans="1:10" x14ac:dyDescent="0.25">
      <c r="A1487" s="10">
        <v>42364</v>
      </c>
      <c r="B1487" s="11" t="s">
        <v>8</v>
      </c>
      <c r="C1487" s="11" t="s">
        <v>5</v>
      </c>
      <c r="D1487" s="16" t="str">
        <f>HYPERLINK("https://freddywills.com/pick/293/washington-state-2-5.html", "Washington State -2.5")</f>
        <v>Washington State -2.5</v>
      </c>
      <c r="E1487" s="11">
        <v>3.3</v>
      </c>
      <c r="F1487" s="11">
        <v>-1.1000000000000001</v>
      </c>
      <c r="G1487" s="11" t="s">
        <v>4</v>
      </c>
      <c r="H1487" s="13">
        <v>3000</v>
      </c>
      <c r="I1487" s="14">
        <f t="shared" si="52"/>
        <v>-0.11681949999999988</v>
      </c>
      <c r="J1487" s="13">
        <f t="shared" si="53"/>
        <v>253185.52</v>
      </c>
    </row>
    <row r="1488" spans="1:10" x14ac:dyDescent="0.25">
      <c r="A1488" s="10">
        <v>42364</v>
      </c>
      <c r="B1488" s="11" t="s">
        <v>8</v>
      </c>
      <c r="C1488" s="11" t="s">
        <v>5</v>
      </c>
      <c r="D1488" s="16" t="str">
        <f>HYPERLINK("https://freddywills.com/pick/294/nebraska-6-5.html", "Nebraska +6.5")</f>
        <v>Nebraska +6.5</v>
      </c>
      <c r="E1488" s="11">
        <v>5.5</v>
      </c>
      <c r="F1488" s="11">
        <v>-1.1000000000000001</v>
      </c>
      <c r="G1488" s="11" t="s">
        <v>4</v>
      </c>
      <c r="H1488" s="13">
        <v>5000</v>
      </c>
      <c r="I1488" s="14">
        <f t="shared" si="52"/>
        <v>-0.14681949999999988</v>
      </c>
      <c r="J1488" s="13">
        <f t="shared" si="53"/>
        <v>250185.52</v>
      </c>
    </row>
    <row r="1489" spans="1:10" x14ac:dyDescent="0.25">
      <c r="A1489" s="10">
        <v>42364</v>
      </c>
      <c r="B1489" s="11" t="s">
        <v>8</v>
      </c>
      <c r="C1489" s="11" t="s">
        <v>18</v>
      </c>
      <c r="D1489" s="16" t="str">
        <f>HYPERLINK("https://freddywills.com/pick/295/duke-132.html", "Duke +132")</f>
        <v>Duke +132</v>
      </c>
      <c r="E1489" s="11">
        <v>4</v>
      </c>
      <c r="F1489" s="11">
        <v>1.32</v>
      </c>
      <c r="G1489" s="11" t="s">
        <v>4</v>
      </c>
      <c r="H1489" s="13">
        <v>5280</v>
      </c>
      <c r="I1489" s="14">
        <f t="shared" si="52"/>
        <v>-0.19681949999999987</v>
      </c>
      <c r="J1489" s="13">
        <f t="shared" si="53"/>
        <v>245185.52</v>
      </c>
    </row>
    <row r="1490" spans="1:10" x14ac:dyDescent="0.25">
      <c r="A1490" s="10">
        <v>42362</v>
      </c>
      <c r="B1490" s="11" t="s">
        <v>8</v>
      </c>
      <c r="C1490" s="11" t="s">
        <v>7</v>
      </c>
      <c r="D1490" s="16" t="str">
        <f>HYPERLINK("https://freddywills.com/pick/296/mtsu-wmich-o63-5.html", "MTSU/WMICH O63.5")</f>
        <v>MTSU/WMICH O63.5</v>
      </c>
      <c r="E1490" s="11">
        <v>1.1000000000000001</v>
      </c>
      <c r="F1490" s="11">
        <v>-1.1000000000000001</v>
      </c>
      <c r="G1490" s="11" t="s">
        <v>4</v>
      </c>
      <c r="H1490" s="13">
        <v>1000</v>
      </c>
      <c r="I1490" s="14">
        <f t="shared" si="52"/>
        <v>-0.24961949999999988</v>
      </c>
      <c r="J1490" s="13">
        <f t="shared" si="53"/>
        <v>239905.52</v>
      </c>
    </row>
    <row r="1491" spans="1:10" x14ac:dyDescent="0.25">
      <c r="A1491" s="10">
        <v>42362</v>
      </c>
      <c r="B1491" s="11" t="s">
        <v>8</v>
      </c>
      <c r="C1491" s="11" t="s">
        <v>5</v>
      </c>
      <c r="D1491" s="16" t="str">
        <f>HYPERLINK("https://freddywills.com/pick/297/san-diego-state-1-5.html", "San Diego State -1.5")</f>
        <v>San Diego State -1.5</v>
      </c>
      <c r="E1491" s="11">
        <v>5.5</v>
      </c>
      <c r="F1491" s="11">
        <v>-1.1000000000000001</v>
      </c>
      <c r="G1491" s="11" t="s">
        <v>4</v>
      </c>
      <c r="H1491" s="13">
        <v>5000</v>
      </c>
      <c r="I1491" s="14">
        <f t="shared" si="52"/>
        <v>-0.25961949999999989</v>
      </c>
      <c r="J1491" s="13">
        <f t="shared" si="53"/>
        <v>238905.52</v>
      </c>
    </row>
    <row r="1492" spans="1:10" x14ac:dyDescent="0.25">
      <c r="A1492" s="10">
        <v>42361</v>
      </c>
      <c r="B1492" s="11" t="s">
        <v>8</v>
      </c>
      <c r="C1492" s="11" t="s">
        <v>5</v>
      </c>
      <c r="D1492" s="16" t="str">
        <f>HYPERLINK("https://freddywills.com/pick/298/georgia-southern-7-5.html", "Georgia Southern +7.5")</f>
        <v>Georgia Southern +7.5</v>
      </c>
      <c r="E1492" s="11">
        <v>4.4000000000000004</v>
      </c>
      <c r="F1492" s="11">
        <v>-1.1000000000000001</v>
      </c>
      <c r="G1492" s="11" t="s">
        <v>4</v>
      </c>
      <c r="H1492" s="13">
        <v>4000</v>
      </c>
      <c r="I1492" s="14">
        <f t="shared" si="52"/>
        <v>-0.30961949999999988</v>
      </c>
      <c r="J1492" s="13">
        <f t="shared" si="53"/>
        <v>233905.52</v>
      </c>
    </row>
    <row r="1493" spans="1:10" x14ac:dyDescent="0.25">
      <c r="A1493" s="10">
        <v>42360</v>
      </c>
      <c r="B1493" s="11" t="s">
        <v>8</v>
      </c>
      <c r="C1493" s="11" t="s">
        <v>5</v>
      </c>
      <c r="D1493" s="16" t="str">
        <f>HYPERLINK("https://freddywills.com/pick/299/temple-2.html", "Temple -2")</f>
        <v>Temple -2</v>
      </c>
      <c r="E1493" s="11">
        <v>3.3</v>
      </c>
      <c r="F1493" s="11">
        <v>-1.1000000000000001</v>
      </c>
      <c r="G1493" s="11" t="s">
        <v>6</v>
      </c>
      <c r="H1493" s="13">
        <v>-3300</v>
      </c>
      <c r="I1493" s="14">
        <f t="shared" si="52"/>
        <v>-0.34961949999999986</v>
      </c>
      <c r="J1493" s="13">
        <f t="shared" si="53"/>
        <v>229905.52</v>
      </c>
    </row>
    <row r="1494" spans="1:10" x14ac:dyDescent="0.25">
      <c r="A1494" s="10">
        <v>42358</v>
      </c>
      <c r="B1494" s="11" t="s">
        <v>2</v>
      </c>
      <c r="C1494" s="11" t="s">
        <v>5</v>
      </c>
      <c r="D1494" s="16" t="str">
        <f>HYPERLINK("https://freddywills.com/pick/300/broncos-7-120.html", "Broncos +7 -120")</f>
        <v>Broncos +7 -120</v>
      </c>
      <c r="E1494" s="11">
        <v>4</v>
      </c>
      <c r="F1494" s="11">
        <v>-1.1000000000000001</v>
      </c>
      <c r="G1494" s="11" t="s">
        <v>9</v>
      </c>
      <c r="H1494" s="13">
        <v>0</v>
      </c>
      <c r="I1494" s="14">
        <f t="shared" si="52"/>
        <v>-0.31661949999999989</v>
      </c>
      <c r="J1494" s="13">
        <f t="shared" si="53"/>
        <v>233205.52</v>
      </c>
    </row>
    <row r="1495" spans="1:10" x14ac:dyDescent="0.25">
      <c r="A1495" s="10">
        <v>42358</v>
      </c>
      <c r="B1495" s="11" t="s">
        <v>2</v>
      </c>
      <c r="C1495" s="11" t="s">
        <v>5</v>
      </c>
      <c r="D1495" s="16" t="str">
        <f>HYPERLINK("https://freddywills.com/pick/301/giants-4.html", "Giants +4")</f>
        <v>Giants +4</v>
      </c>
      <c r="E1495" s="11">
        <v>5.5</v>
      </c>
      <c r="F1495" s="11">
        <v>-1.1000000000000001</v>
      </c>
      <c r="G1495" s="11" t="s">
        <v>4</v>
      </c>
      <c r="H1495" s="13">
        <v>5000</v>
      </c>
      <c r="I1495" s="14">
        <f t="shared" si="52"/>
        <v>-0.31661949999999989</v>
      </c>
      <c r="J1495" s="13">
        <f t="shared" si="53"/>
        <v>233205.52</v>
      </c>
    </row>
    <row r="1496" spans="1:10" x14ac:dyDescent="0.25">
      <c r="A1496" s="10">
        <v>42357</v>
      </c>
      <c r="B1496" s="11" t="s">
        <v>8</v>
      </c>
      <c r="C1496" s="11" t="s">
        <v>7</v>
      </c>
      <c r="D1496" s="16" t="str">
        <f>HYPERLINK("https://freddywills.com/pick/302/utah-byu-u51-5.html", "Utah/BYU U51.5")</f>
        <v>Utah/BYU U51.5</v>
      </c>
      <c r="E1496" s="11">
        <v>3.3</v>
      </c>
      <c r="F1496" s="11">
        <v>-1.1000000000000001</v>
      </c>
      <c r="G1496" s="11" t="s">
        <v>6</v>
      </c>
      <c r="H1496" s="13">
        <v>-3300</v>
      </c>
      <c r="I1496" s="14">
        <f t="shared" si="52"/>
        <v>-0.36661949999999988</v>
      </c>
      <c r="J1496" s="13">
        <f t="shared" si="53"/>
        <v>228205.52</v>
      </c>
    </row>
    <row r="1497" spans="1:10" x14ac:dyDescent="0.25">
      <c r="A1497" s="10">
        <v>42357</v>
      </c>
      <c r="B1497" s="11" t="s">
        <v>8</v>
      </c>
      <c r="C1497" s="11" t="s">
        <v>5</v>
      </c>
      <c r="D1497" s="16" t="str">
        <f>HYPERLINK("https://freddywills.com/pick/303/new-mexico-8.html", "New Mexico +8")</f>
        <v>New Mexico +8</v>
      </c>
      <c r="E1497" s="11">
        <v>1.1000000000000001</v>
      </c>
      <c r="F1497" s="11">
        <v>-1.1000000000000001</v>
      </c>
      <c r="G1497" s="11" t="s">
        <v>9</v>
      </c>
      <c r="H1497" s="13">
        <v>0</v>
      </c>
      <c r="I1497" s="14">
        <f t="shared" si="52"/>
        <v>-0.33361949999999985</v>
      </c>
      <c r="J1497" s="13">
        <f t="shared" si="53"/>
        <v>231505.52</v>
      </c>
    </row>
    <row r="1498" spans="1:10" x14ac:dyDescent="0.25">
      <c r="A1498" s="10">
        <v>42357</v>
      </c>
      <c r="B1498" s="11" t="s">
        <v>8</v>
      </c>
      <c r="C1498" s="11" t="s">
        <v>5</v>
      </c>
      <c r="D1498" s="16" t="str">
        <f>HYPERLINK("https://freddywills.com/pick/304/la-tech-1.html", "LA TECH -1")</f>
        <v>LA TECH -1</v>
      </c>
      <c r="E1498" s="11">
        <v>5.5</v>
      </c>
      <c r="F1498" s="11">
        <v>-1.1000000000000001</v>
      </c>
      <c r="G1498" s="11" t="s">
        <v>4</v>
      </c>
      <c r="H1498" s="13">
        <v>5000</v>
      </c>
      <c r="I1498" s="14">
        <f t="shared" si="52"/>
        <v>-0.33361949999999985</v>
      </c>
      <c r="J1498" s="13">
        <f t="shared" si="53"/>
        <v>231505.52</v>
      </c>
    </row>
    <row r="1499" spans="1:10" x14ac:dyDescent="0.25">
      <c r="A1499" s="10">
        <v>42357</v>
      </c>
      <c r="B1499" s="11" t="s">
        <v>8</v>
      </c>
      <c r="C1499" s="11" t="s">
        <v>5</v>
      </c>
      <c r="D1499" s="16" t="str">
        <f>HYPERLINK("https://freddywills.com/pick/305/ohio-7-5.html", "Ohio +7.5")</f>
        <v>Ohio +7.5</v>
      </c>
      <c r="E1499" s="11">
        <v>2.2000000000000002</v>
      </c>
      <c r="F1499" s="11">
        <v>-1.1000000000000001</v>
      </c>
      <c r="G1499" s="11" t="s">
        <v>4</v>
      </c>
      <c r="H1499" s="13">
        <v>2000</v>
      </c>
      <c r="I1499" s="14">
        <f t="shared" si="52"/>
        <v>-0.38361949999999984</v>
      </c>
      <c r="J1499" s="13">
        <f t="shared" si="53"/>
        <v>226505.52</v>
      </c>
    </row>
    <row r="1500" spans="1:10" x14ac:dyDescent="0.25">
      <c r="A1500" s="10">
        <v>42357</v>
      </c>
      <c r="B1500" s="11" t="s">
        <v>2</v>
      </c>
      <c r="C1500" s="11" t="s">
        <v>5</v>
      </c>
      <c r="D1500" s="16" t="str">
        <f>HYPERLINK("https://freddywills.com/pick/306/jets-3.html", "Jets -3")</f>
        <v>Jets -3</v>
      </c>
      <c r="E1500" s="11">
        <v>3.3</v>
      </c>
      <c r="F1500" s="11">
        <v>-1.1000000000000001</v>
      </c>
      <c r="G1500" s="11" t="s">
        <v>9</v>
      </c>
      <c r="H1500" s="13">
        <v>0</v>
      </c>
      <c r="I1500" s="14">
        <f t="shared" si="52"/>
        <v>-0.40361949999999985</v>
      </c>
      <c r="J1500" s="13">
        <f t="shared" si="53"/>
        <v>224505.52</v>
      </c>
    </row>
    <row r="1501" spans="1:10" x14ac:dyDescent="0.25">
      <c r="A1501" s="10">
        <v>42351</v>
      </c>
      <c r="B1501" s="11" t="s">
        <v>2</v>
      </c>
      <c r="C1501" s="11" t="s">
        <v>5</v>
      </c>
      <c r="D1501" s="16" t="str">
        <f>HYPERLINK("https://freddywills.com/pick/307/jaguars-2.html", "Jaguars -2")</f>
        <v>Jaguars -2</v>
      </c>
      <c r="E1501" s="11">
        <v>5.5</v>
      </c>
      <c r="F1501" s="11">
        <v>-1.1000000000000001</v>
      </c>
      <c r="G1501" s="11" t="s">
        <v>4</v>
      </c>
      <c r="H1501" s="13">
        <v>5000</v>
      </c>
      <c r="I1501" s="14">
        <f t="shared" si="52"/>
        <v>-0.40361949999999985</v>
      </c>
      <c r="J1501" s="13">
        <f t="shared" si="53"/>
        <v>224505.52</v>
      </c>
    </row>
    <row r="1502" spans="1:10" x14ac:dyDescent="0.25">
      <c r="A1502" s="10">
        <v>42351</v>
      </c>
      <c r="B1502" s="11" t="s">
        <v>2</v>
      </c>
      <c r="C1502" s="11" t="s">
        <v>5</v>
      </c>
      <c r="D1502" s="16" t="str">
        <f>HYPERLINK("https://freddywills.com/pick/308/bills-1.html", "Bills +1")</f>
        <v>Bills +1</v>
      </c>
      <c r="E1502" s="11">
        <v>3.3</v>
      </c>
      <c r="F1502" s="11">
        <v>-1.1000000000000001</v>
      </c>
      <c r="G1502" s="11" t="s">
        <v>6</v>
      </c>
      <c r="H1502" s="13">
        <v>-3300</v>
      </c>
      <c r="I1502" s="14">
        <f t="shared" si="52"/>
        <v>-0.45361949999999984</v>
      </c>
      <c r="J1502" s="13">
        <f t="shared" si="53"/>
        <v>219505.52</v>
      </c>
    </row>
    <row r="1503" spans="1:10" x14ac:dyDescent="0.25">
      <c r="A1503" s="10">
        <v>42351</v>
      </c>
      <c r="B1503" s="11" t="s">
        <v>2</v>
      </c>
      <c r="C1503" s="11" t="s">
        <v>5</v>
      </c>
      <c r="D1503" s="16" t="str">
        <f>HYPERLINK("https://freddywills.com/pick/309/cowboys-7.html", "Cowboys +7")</f>
        <v>Cowboys +7</v>
      </c>
      <c r="E1503" s="11">
        <v>1.1000000000000001</v>
      </c>
      <c r="F1503" s="11">
        <v>-1.1000000000000001</v>
      </c>
      <c r="G1503" s="11" t="s">
        <v>6</v>
      </c>
      <c r="H1503" s="13">
        <v>-1100</v>
      </c>
      <c r="I1503" s="14">
        <f t="shared" si="52"/>
        <v>-0.42061949999999987</v>
      </c>
      <c r="J1503" s="13">
        <f t="shared" si="53"/>
        <v>222805.52</v>
      </c>
    </row>
    <row r="1504" spans="1:10" x14ac:dyDescent="0.25">
      <c r="A1504" s="10">
        <v>42351</v>
      </c>
      <c r="B1504" s="11" t="s">
        <v>2</v>
      </c>
      <c r="C1504" s="11" t="s">
        <v>5</v>
      </c>
      <c r="D1504" s="16" t="str">
        <f>HYPERLINK("https://freddywills.com/pick/310/browns-1-5.html", "Browns -1.5")</f>
        <v>Browns -1.5</v>
      </c>
      <c r="E1504" s="11">
        <v>2.2000000000000002</v>
      </c>
      <c r="F1504" s="11">
        <v>-1.1000000000000001</v>
      </c>
      <c r="G1504" s="11" t="s">
        <v>4</v>
      </c>
      <c r="H1504" s="13">
        <v>2000</v>
      </c>
      <c r="I1504" s="14">
        <f t="shared" si="52"/>
        <v>-0.40961949999999986</v>
      </c>
      <c r="J1504" s="13">
        <f t="shared" si="53"/>
        <v>223905.52</v>
      </c>
    </row>
    <row r="1505" spans="1:10" x14ac:dyDescent="0.25">
      <c r="A1505" s="10">
        <v>42350</v>
      </c>
      <c r="B1505" s="11" t="s">
        <v>8</v>
      </c>
      <c r="C1505" s="11" t="s">
        <v>7</v>
      </c>
      <c r="D1505" s="16" t="str">
        <f>HYPERLINK("https://freddywills.com/pick/311/army-navy-u50-5.html", "Army/Navy U50.5")</f>
        <v>Army/Navy U50.5</v>
      </c>
      <c r="E1505" s="11">
        <v>4.4000000000000004</v>
      </c>
      <c r="F1505" s="11">
        <v>-1.1000000000000001</v>
      </c>
      <c r="G1505" s="11" t="s">
        <v>4</v>
      </c>
      <c r="H1505" s="13">
        <v>4000</v>
      </c>
      <c r="I1505" s="14">
        <f t="shared" si="52"/>
        <v>-0.42961949999999988</v>
      </c>
      <c r="J1505" s="13">
        <f t="shared" si="53"/>
        <v>221905.52</v>
      </c>
    </row>
    <row r="1506" spans="1:10" x14ac:dyDescent="0.25">
      <c r="A1506" s="10">
        <v>42344</v>
      </c>
      <c r="B1506" s="11" t="s">
        <v>2</v>
      </c>
      <c r="C1506" s="11" t="s">
        <v>5</v>
      </c>
      <c r="D1506" s="16" t="str">
        <f>HYPERLINK("https://freddywills.com/pick/312/rams-4-5.html", "Rams +4.5")</f>
        <v>Rams +4.5</v>
      </c>
      <c r="E1506" s="11">
        <v>2.2000000000000002</v>
      </c>
      <c r="F1506" s="11">
        <v>-1.1000000000000001</v>
      </c>
      <c r="G1506" s="11" t="s">
        <v>6</v>
      </c>
      <c r="H1506" s="13">
        <v>-2200</v>
      </c>
      <c r="I1506" s="14">
        <f t="shared" si="52"/>
        <v>-0.46961949999999986</v>
      </c>
      <c r="J1506" s="13">
        <f t="shared" si="53"/>
        <v>217905.52</v>
      </c>
    </row>
    <row r="1507" spans="1:10" x14ac:dyDescent="0.25">
      <c r="A1507" s="10">
        <v>42344</v>
      </c>
      <c r="B1507" s="11" t="s">
        <v>2</v>
      </c>
      <c r="C1507" s="11" t="s">
        <v>5</v>
      </c>
      <c r="D1507" s="16" t="str">
        <f>HYPERLINK("https://freddywills.com/pick/313/chargers-4.html", "Chargers +4")</f>
        <v>Chargers +4</v>
      </c>
      <c r="E1507" s="11">
        <v>3.3</v>
      </c>
      <c r="F1507" s="11">
        <v>-1.1000000000000001</v>
      </c>
      <c r="G1507" s="11" t="s">
        <v>6</v>
      </c>
      <c r="H1507" s="13">
        <v>-3300</v>
      </c>
      <c r="I1507" s="14">
        <f t="shared" si="52"/>
        <v>-0.44761949999999984</v>
      </c>
      <c r="J1507" s="13">
        <f t="shared" si="53"/>
        <v>220105.52</v>
      </c>
    </row>
    <row r="1508" spans="1:10" x14ac:dyDescent="0.25">
      <c r="A1508" s="10">
        <v>42343</v>
      </c>
      <c r="B1508" s="11" t="s">
        <v>8</v>
      </c>
      <c r="C1508" s="11" t="s">
        <v>10</v>
      </c>
      <c r="D1508" s="16" t="str">
        <f>HYPERLINK("https://freddywills.com/pick/314/kstate-11-5-unc-10-5.html", "KSTate +11.5 /UNC +10.5")</f>
        <v>KSTate +11.5 /UNC +10.5</v>
      </c>
      <c r="E1508" s="11">
        <v>4.4000000000000004</v>
      </c>
      <c r="F1508" s="11">
        <v>-1.1000000000000001</v>
      </c>
      <c r="G1508" s="11" t="s">
        <v>4</v>
      </c>
      <c r="H1508" s="13">
        <v>4000</v>
      </c>
      <c r="I1508" s="14">
        <f t="shared" si="52"/>
        <v>-0.41461949999999986</v>
      </c>
      <c r="J1508" s="13">
        <f t="shared" si="53"/>
        <v>223405.52</v>
      </c>
    </row>
    <row r="1509" spans="1:10" x14ac:dyDescent="0.25">
      <c r="A1509" s="10">
        <v>42343</v>
      </c>
      <c r="B1509" s="11" t="s">
        <v>8</v>
      </c>
      <c r="C1509" s="11" t="s">
        <v>5</v>
      </c>
      <c r="D1509" s="16" t="str">
        <f>HYPERLINK("https://freddywills.com/pick/315/southern-miss-8.html", "Southern Miss +8")</f>
        <v>Southern Miss +8</v>
      </c>
      <c r="E1509" s="11">
        <v>5.5</v>
      </c>
      <c r="F1509" s="11">
        <v>-1.1000000000000001</v>
      </c>
      <c r="G1509" s="11" t="s">
        <v>6</v>
      </c>
      <c r="H1509" s="13">
        <v>-5500</v>
      </c>
      <c r="I1509" s="14">
        <f t="shared" ref="I1509:I1572" si="54">(H1509/100000)+I1510</f>
        <v>-0.45461949999999984</v>
      </c>
      <c r="J1509" s="13">
        <f t="shared" ref="J1509:J1572" si="55">H1509+J1510</f>
        <v>219405.52</v>
      </c>
    </row>
    <row r="1510" spans="1:10" x14ac:dyDescent="0.25">
      <c r="A1510" s="10">
        <v>42343</v>
      </c>
      <c r="B1510" s="11" t="s">
        <v>8</v>
      </c>
      <c r="C1510" s="11" t="s">
        <v>7</v>
      </c>
      <c r="D1510" s="16" t="str">
        <f>HYPERLINK("https://freddywills.com/pick/316/air-force-sd-state-u50.html", "Air Force / SD State U50")</f>
        <v>Air Force / SD State U50</v>
      </c>
      <c r="E1510" s="11">
        <v>4.4000000000000004</v>
      </c>
      <c r="F1510" s="11">
        <v>-1.1000000000000001</v>
      </c>
      <c r="G1510" s="11" t="s">
        <v>6</v>
      </c>
      <c r="H1510" s="13">
        <v>-4400</v>
      </c>
      <c r="I1510" s="14">
        <f t="shared" si="54"/>
        <v>-0.39961949999999985</v>
      </c>
      <c r="J1510" s="13">
        <f t="shared" si="55"/>
        <v>224905.52</v>
      </c>
    </row>
    <row r="1511" spans="1:10" x14ac:dyDescent="0.25">
      <c r="A1511" s="10">
        <v>42343</v>
      </c>
      <c r="B1511" s="11" t="s">
        <v>8</v>
      </c>
      <c r="C1511" s="11" t="s">
        <v>5</v>
      </c>
      <c r="D1511" s="16" t="str">
        <f>HYPERLINK("https://freddywills.com/pick/317/iowa-3-5.html", "Iowa +3.5")</f>
        <v>Iowa +3.5</v>
      </c>
      <c r="E1511" s="11">
        <v>2.2000000000000002</v>
      </c>
      <c r="F1511" s="11">
        <v>-1.1000000000000001</v>
      </c>
      <c r="G1511" s="11" t="s">
        <v>4</v>
      </c>
      <c r="H1511" s="13">
        <v>2000</v>
      </c>
      <c r="I1511" s="14">
        <f t="shared" si="54"/>
        <v>-0.35561949999999987</v>
      </c>
      <c r="J1511" s="13">
        <f t="shared" si="55"/>
        <v>229305.52</v>
      </c>
    </row>
    <row r="1512" spans="1:10" x14ac:dyDescent="0.25">
      <c r="A1512" s="10">
        <v>42343</v>
      </c>
      <c r="B1512" s="11" t="s">
        <v>8</v>
      </c>
      <c r="C1512" s="11" t="s">
        <v>18</v>
      </c>
      <c r="D1512" s="16" t="str">
        <f>HYPERLINK("https://freddywills.com/pick/318/smiss-260.html", "Smiss +260")</f>
        <v>Smiss +260</v>
      </c>
      <c r="E1512" s="11">
        <v>1</v>
      </c>
      <c r="F1512" s="11">
        <v>2.6</v>
      </c>
      <c r="G1512" s="11" t="s">
        <v>6</v>
      </c>
      <c r="H1512" s="13">
        <v>-1000</v>
      </c>
      <c r="I1512" s="14">
        <f t="shared" si="54"/>
        <v>-0.37561949999999988</v>
      </c>
      <c r="J1512" s="13">
        <f t="shared" si="55"/>
        <v>227305.52</v>
      </c>
    </row>
    <row r="1513" spans="1:10" x14ac:dyDescent="0.25">
      <c r="A1513" s="10">
        <v>42343</v>
      </c>
      <c r="B1513" s="11" t="s">
        <v>8</v>
      </c>
      <c r="C1513" s="11" t="s">
        <v>5</v>
      </c>
      <c r="D1513" s="16" t="str">
        <f>HYPERLINK("https://freddywills.com/pick/319/florida-18.html", "Florida +18")</f>
        <v>Florida +18</v>
      </c>
      <c r="E1513" s="11">
        <v>3.3</v>
      </c>
      <c r="F1513" s="11">
        <v>-1.1000000000000001</v>
      </c>
      <c r="G1513" s="11" t="s">
        <v>4</v>
      </c>
      <c r="H1513" s="13">
        <v>3000</v>
      </c>
      <c r="I1513" s="14">
        <f t="shared" si="54"/>
        <v>-0.36561949999999988</v>
      </c>
      <c r="J1513" s="13">
        <f t="shared" si="55"/>
        <v>228305.52</v>
      </c>
    </row>
    <row r="1514" spans="1:10" x14ac:dyDescent="0.25">
      <c r="A1514" s="10">
        <v>42342</v>
      </c>
      <c r="B1514" s="11" t="s">
        <v>8</v>
      </c>
      <c r="C1514" s="11" t="s">
        <v>5</v>
      </c>
      <c r="D1514" s="16" t="str">
        <f>HYPERLINK("https://freddywills.com/pick/320/norther-ill-12-5.html", "Norther Ill +12.5")</f>
        <v>Norther Ill +12.5</v>
      </c>
      <c r="E1514" s="11">
        <v>3.3</v>
      </c>
      <c r="F1514" s="11">
        <v>-1.1000000000000001</v>
      </c>
      <c r="G1514" s="11" t="s">
        <v>6</v>
      </c>
      <c r="H1514" s="13">
        <v>-3300</v>
      </c>
      <c r="I1514" s="14">
        <f t="shared" si="54"/>
        <v>-0.3956194999999999</v>
      </c>
      <c r="J1514" s="13">
        <f t="shared" si="55"/>
        <v>225305.52</v>
      </c>
    </row>
    <row r="1515" spans="1:10" x14ac:dyDescent="0.25">
      <c r="A1515" s="10">
        <v>42336</v>
      </c>
      <c r="B1515" s="11" t="s">
        <v>8</v>
      </c>
      <c r="C1515" s="11" t="s">
        <v>5</v>
      </c>
      <c r="D1515" s="16" t="str">
        <f>HYPERLINK("https://freddywills.com/pick/321/south-carolina-17-5.html", "South Carolina +17.5")</f>
        <v>South Carolina +17.5</v>
      </c>
      <c r="E1515" s="11">
        <v>5.5</v>
      </c>
      <c r="F1515" s="11">
        <v>-1.1000000000000001</v>
      </c>
      <c r="G1515" s="11" t="s">
        <v>4</v>
      </c>
      <c r="H1515" s="13">
        <v>5000</v>
      </c>
      <c r="I1515" s="14">
        <f t="shared" si="54"/>
        <v>-0.36261949999999993</v>
      </c>
      <c r="J1515" s="13">
        <f t="shared" si="55"/>
        <v>228605.52</v>
      </c>
    </row>
    <row r="1516" spans="1:10" x14ac:dyDescent="0.25">
      <c r="A1516" s="10">
        <v>42336</v>
      </c>
      <c r="B1516" s="11" t="s">
        <v>8</v>
      </c>
      <c r="C1516" s="11" t="s">
        <v>18</v>
      </c>
      <c r="D1516" s="16" t="str">
        <f>HYPERLINK("https://freddywills.com/pick/322/kentucky-163.html", "Kentucky +163")</f>
        <v>Kentucky +163</v>
      </c>
      <c r="E1516" s="11">
        <v>4</v>
      </c>
      <c r="F1516" s="11">
        <v>1.63</v>
      </c>
      <c r="G1516" s="11" t="s">
        <v>6</v>
      </c>
      <c r="H1516" s="13">
        <v>-4000</v>
      </c>
      <c r="I1516" s="14">
        <f t="shared" si="54"/>
        <v>-0.41261949999999992</v>
      </c>
      <c r="J1516" s="13">
        <f t="shared" si="55"/>
        <v>223605.52</v>
      </c>
    </row>
    <row r="1517" spans="1:10" x14ac:dyDescent="0.25">
      <c r="A1517" s="10">
        <v>42336</v>
      </c>
      <c r="B1517" s="11" t="s">
        <v>8</v>
      </c>
      <c r="C1517" s="11" t="s">
        <v>10</v>
      </c>
      <c r="D1517" s="16" t="str">
        <f>HYPERLINK("https://freddywills.com/pick/323/florida-8-5-lsu-0-5.html", "Florida +8.5 / LSU +0.5")</f>
        <v>Florida +8.5 / LSU +0.5</v>
      </c>
      <c r="E1517" s="11">
        <v>4.4000000000000004</v>
      </c>
      <c r="F1517" s="11">
        <v>-1.1000000000000001</v>
      </c>
      <c r="G1517" s="11" t="s">
        <v>6</v>
      </c>
      <c r="H1517" s="13">
        <v>-4400</v>
      </c>
      <c r="I1517" s="14">
        <f t="shared" si="54"/>
        <v>-0.37261949999999994</v>
      </c>
      <c r="J1517" s="13">
        <f t="shared" si="55"/>
        <v>227605.52</v>
      </c>
    </row>
    <row r="1518" spans="1:10" x14ac:dyDescent="0.25">
      <c r="A1518" s="10">
        <v>42336</v>
      </c>
      <c r="B1518" s="11" t="s">
        <v>8</v>
      </c>
      <c r="C1518" s="11" t="s">
        <v>5</v>
      </c>
      <c r="D1518" s="16" t="str">
        <f>HYPERLINK("https://freddywills.com/pick/324/stanford-3-115.html", "Stanford -3 -115")</f>
        <v>Stanford -3 -115</v>
      </c>
      <c r="E1518" s="11">
        <v>3</v>
      </c>
      <c r="F1518" s="11">
        <v>-1.1499999999999999</v>
      </c>
      <c r="G1518" s="11" t="s">
        <v>6</v>
      </c>
      <c r="H1518" s="13">
        <v>-3000</v>
      </c>
      <c r="I1518" s="14">
        <f t="shared" si="54"/>
        <v>-0.32861949999999995</v>
      </c>
      <c r="J1518" s="13">
        <f t="shared" si="55"/>
        <v>232005.52</v>
      </c>
    </row>
    <row r="1519" spans="1:10" x14ac:dyDescent="0.25">
      <c r="A1519" s="10">
        <v>42336</v>
      </c>
      <c r="B1519" s="11" t="s">
        <v>8</v>
      </c>
      <c r="C1519" s="11" t="s">
        <v>7</v>
      </c>
      <c r="D1519" s="16" t="str">
        <f>HYPERLINK("https://freddywills.com/pick/325/ohio-st-michigan-u47.html", "Ohio St/Michigan U47")</f>
        <v>Ohio St/Michigan U47</v>
      </c>
      <c r="E1519" s="11">
        <v>3.3</v>
      </c>
      <c r="F1519" s="11">
        <v>-1.1000000000000001</v>
      </c>
      <c r="G1519" s="11" t="s">
        <v>6</v>
      </c>
      <c r="H1519" s="13">
        <v>-3300</v>
      </c>
      <c r="I1519" s="14">
        <f t="shared" si="54"/>
        <v>-0.29861949999999993</v>
      </c>
      <c r="J1519" s="13">
        <f t="shared" si="55"/>
        <v>235005.52</v>
      </c>
    </row>
    <row r="1520" spans="1:10" x14ac:dyDescent="0.25">
      <c r="A1520" s="10">
        <v>42336</v>
      </c>
      <c r="B1520" s="11" t="s">
        <v>8</v>
      </c>
      <c r="C1520" s="11" t="s">
        <v>5</v>
      </c>
      <c r="D1520" s="16" t="str">
        <f>HYPERLINK("https://freddywills.com/pick/326/auburn-14-5.html", "Auburn +14.5")</f>
        <v>Auburn +14.5</v>
      </c>
      <c r="E1520" s="11">
        <v>2.2000000000000002</v>
      </c>
      <c r="F1520" s="11">
        <v>-1.1000000000000001</v>
      </c>
      <c r="G1520" s="11" t="s">
        <v>6</v>
      </c>
      <c r="H1520" s="13">
        <v>-2200</v>
      </c>
      <c r="I1520" s="14">
        <f t="shared" si="54"/>
        <v>-0.2656194999999999</v>
      </c>
      <c r="J1520" s="13">
        <f t="shared" si="55"/>
        <v>238305.52</v>
      </c>
    </row>
    <row r="1521" spans="1:10" x14ac:dyDescent="0.25">
      <c r="A1521" s="10">
        <v>42336</v>
      </c>
      <c r="B1521" s="11" t="s">
        <v>8</v>
      </c>
      <c r="C1521" s="11" t="s">
        <v>5</v>
      </c>
      <c r="D1521" s="16" t="str">
        <f>HYPERLINK("https://freddywills.com/pick/327/northwestern-3-120.html", "Northwestern -3 -120")</f>
        <v>Northwestern -3 -120</v>
      </c>
      <c r="E1521" s="11">
        <v>3.5</v>
      </c>
      <c r="F1521" s="11">
        <v>-1.2</v>
      </c>
      <c r="G1521" s="11" t="s">
        <v>4</v>
      </c>
      <c r="H1521" s="13">
        <v>2916.67</v>
      </c>
      <c r="I1521" s="14">
        <f t="shared" si="54"/>
        <v>-0.24361949999999988</v>
      </c>
      <c r="J1521" s="13">
        <f t="shared" si="55"/>
        <v>240505.52</v>
      </c>
    </row>
    <row r="1522" spans="1:10" x14ac:dyDescent="0.25">
      <c r="A1522" s="10">
        <v>42335</v>
      </c>
      <c r="B1522" s="11" t="s">
        <v>8</v>
      </c>
      <c r="C1522" s="11" t="s">
        <v>10</v>
      </c>
      <c r="D1522" s="16" t="str">
        <f>HYPERLINK("https://freddywills.com/pick/328/boise-1-5-nebraska-8.html", "BOISE -1.5 / NEBRASKA +8")</f>
        <v>BOISE -1.5 / NEBRASKA +8</v>
      </c>
      <c r="E1522" s="11">
        <v>5.5</v>
      </c>
      <c r="F1522" s="11">
        <v>-1.1000000000000001</v>
      </c>
      <c r="G1522" s="11" t="s">
        <v>9</v>
      </c>
      <c r="H1522" s="13">
        <v>0</v>
      </c>
      <c r="I1522" s="14">
        <f t="shared" si="54"/>
        <v>-0.27278619999999987</v>
      </c>
      <c r="J1522" s="13">
        <f t="shared" si="55"/>
        <v>237588.84999999998</v>
      </c>
    </row>
    <row r="1523" spans="1:10" x14ac:dyDescent="0.25">
      <c r="A1523" s="10">
        <v>42335</v>
      </c>
      <c r="B1523" s="11" t="s">
        <v>8</v>
      </c>
      <c r="C1523" s="11" t="s">
        <v>5</v>
      </c>
      <c r="D1523" s="16" t="str">
        <f>HYPERLINK("https://freddywills.com/pick/329/navy-1.html", "NAVY -1")</f>
        <v>NAVY -1</v>
      </c>
      <c r="E1523" s="11">
        <v>5.5</v>
      </c>
      <c r="F1523" s="11">
        <v>-1.1000000000000001</v>
      </c>
      <c r="G1523" s="11" t="s">
        <v>6</v>
      </c>
      <c r="H1523" s="13">
        <v>-5500</v>
      </c>
      <c r="I1523" s="14">
        <f t="shared" si="54"/>
        <v>-0.27278619999999987</v>
      </c>
      <c r="J1523" s="13">
        <f t="shared" si="55"/>
        <v>237588.84999999998</v>
      </c>
    </row>
    <row r="1524" spans="1:10" x14ac:dyDescent="0.25">
      <c r="A1524" s="10">
        <v>42335</v>
      </c>
      <c r="B1524" s="11" t="s">
        <v>8</v>
      </c>
      <c r="C1524" s="11" t="s">
        <v>5</v>
      </c>
      <c r="D1524" s="16" t="str">
        <f>HYPERLINK("https://freddywills.com/pick/330/oregon-state-35.html", "Oregon State +35")</f>
        <v>Oregon State +35</v>
      </c>
      <c r="E1524" s="11">
        <v>1.1000000000000001</v>
      </c>
      <c r="F1524" s="11">
        <v>-1.1000000000000001</v>
      </c>
      <c r="G1524" s="11" t="s">
        <v>4</v>
      </c>
      <c r="H1524" s="13">
        <v>1000</v>
      </c>
      <c r="I1524" s="14">
        <f t="shared" si="54"/>
        <v>-0.21778619999999985</v>
      </c>
      <c r="J1524" s="13">
        <f t="shared" si="55"/>
        <v>243088.84999999998</v>
      </c>
    </row>
    <row r="1525" spans="1:10" x14ac:dyDescent="0.25">
      <c r="A1525" s="10">
        <v>42334</v>
      </c>
      <c r="B1525" s="11" t="s">
        <v>2</v>
      </c>
      <c r="C1525" s="11" t="s">
        <v>10</v>
      </c>
      <c r="D1525" s="16" t="str">
        <f>HYPERLINK("https://freddywills.com/pick/331/eagles-8-5-bears-14-5.html", "Eagles +8.5 / Bears +14.5")</f>
        <v>Eagles +8.5 / Bears +14.5</v>
      </c>
      <c r="E1525" s="11">
        <v>3.3</v>
      </c>
      <c r="F1525" s="11">
        <v>-1.1000000000000001</v>
      </c>
      <c r="G1525" s="11" t="s">
        <v>6</v>
      </c>
      <c r="H1525" s="13">
        <v>-3300</v>
      </c>
      <c r="I1525" s="14">
        <f t="shared" si="54"/>
        <v>-0.22778619999999986</v>
      </c>
      <c r="J1525" s="13">
        <f t="shared" si="55"/>
        <v>242088.84999999998</v>
      </c>
    </row>
    <row r="1526" spans="1:10" x14ac:dyDescent="0.25">
      <c r="A1526" s="10">
        <v>42334</v>
      </c>
      <c r="B1526" s="11" t="s">
        <v>2</v>
      </c>
      <c r="C1526" s="11" t="s">
        <v>5</v>
      </c>
      <c r="D1526" s="16" t="str">
        <f>HYPERLINK("https://freddywills.com/pick/332/cowboys-1.html", "Cowboys -1")</f>
        <v>Cowboys -1</v>
      </c>
      <c r="E1526" s="11">
        <v>5.5</v>
      </c>
      <c r="F1526" s="11">
        <v>-1.1000000000000001</v>
      </c>
      <c r="G1526" s="11" t="s">
        <v>6</v>
      </c>
      <c r="H1526" s="13">
        <v>-5500</v>
      </c>
      <c r="I1526" s="14">
        <f t="shared" si="54"/>
        <v>-0.19478619999999985</v>
      </c>
      <c r="J1526" s="13">
        <f t="shared" si="55"/>
        <v>245388.84999999998</v>
      </c>
    </row>
    <row r="1527" spans="1:10" x14ac:dyDescent="0.25">
      <c r="A1527" s="10">
        <v>42333</v>
      </c>
      <c r="B1527" s="11" t="s">
        <v>8</v>
      </c>
      <c r="C1527" s="11" t="s">
        <v>5</v>
      </c>
      <c r="D1527" s="16" t="str">
        <f>HYPERLINK("https://freddywills.com/pick/333/texas-1-5.html", "Texas +1.5")</f>
        <v>Texas +1.5</v>
      </c>
      <c r="E1527" s="11">
        <v>3.3</v>
      </c>
      <c r="F1527" s="11">
        <v>-1.1000000000000001</v>
      </c>
      <c r="G1527" s="11" t="s">
        <v>6</v>
      </c>
      <c r="H1527" s="13">
        <v>-3300</v>
      </c>
      <c r="I1527" s="14">
        <f t="shared" si="54"/>
        <v>-0.13978619999999986</v>
      </c>
      <c r="J1527" s="13">
        <f t="shared" si="55"/>
        <v>250888.84999999998</v>
      </c>
    </row>
    <row r="1528" spans="1:10" x14ac:dyDescent="0.25">
      <c r="A1528" s="10">
        <v>42332</v>
      </c>
      <c r="B1528" s="11" t="s">
        <v>8</v>
      </c>
      <c r="C1528" s="11" t="s">
        <v>5</v>
      </c>
      <c r="D1528" s="16" t="str">
        <f>HYPERLINK("https://freddywills.com/pick/334/ball-state-23.html", "Ball State +23")</f>
        <v>Ball State +23</v>
      </c>
      <c r="E1528" s="11">
        <v>3.3</v>
      </c>
      <c r="F1528" s="11">
        <v>-1.1000000000000001</v>
      </c>
      <c r="G1528" s="11" t="s">
        <v>6</v>
      </c>
      <c r="H1528" s="13">
        <v>-3300</v>
      </c>
      <c r="I1528" s="14">
        <f t="shared" si="54"/>
        <v>-0.10678619999999986</v>
      </c>
      <c r="J1528" s="13">
        <f t="shared" si="55"/>
        <v>254188.84999999998</v>
      </c>
    </row>
    <row r="1529" spans="1:10" x14ac:dyDescent="0.25">
      <c r="A1529" s="10">
        <v>42330</v>
      </c>
      <c r="B1529" s="11" t="s">
        <v>2</v>
      </c>
      <c r="C1529" s="11" t="s">
        <v>5</v>
      </c>
      <c r="D1529" s="16" t="str">
        <f>HYPERLINK("https://freddywills.com/pick/335/falcons-3-120.html", "Falcons -3 -120")</f>
        <v>Falcons -3 -120</v>
      </c>
      <c r="E1529" s="11">
        <v>5.5</v>
      </c>
      <c r="F1529" s="11">
        <v>-1.2</v>
      </c>
      <c r="G1529" s="11" t="s">
        <v>6</v>
      </c>
      <c r="H1529" s="13">
        <v>-5500</v>
      </c>
      <c r="I1529" s="14">
        <f t="shared" si="54"/>
        <v>-7.3786199999999857E-2</v>
      </c>
      <c r="J1529" s="13">
        <f t="shared" si="55"/>
        <v>257488.84999999998</v>
      </c>
    </row>
    <row r="1530" spans="1:10" x14ac:dyDescent="0.25">
      <c r="A1530" s="10">
        <v>42330</v>
      </c>
      <c r="B1530" s="11" t="s">
        <v>2</v>
      </c>
      <c r="C1530" s="11" t="s">
        <v>5</v>
      </c>
      <c r="D1530" s="16" t="str">
        <f>HYPERLINK("https://freddywills.com/pick/336/broncos-1-5.html", "Broncos -1.5")</f>
        <v>Broncos -1.5</v>
      </c>
      <c r="E1530" s="11">
        <v>3.3</v>
      </c>
      <c r="F1530" s="11">
        <v>-1.1000000000000001</v>
      </c>
      <c r="G1530" s="11" t="s">
        <v>4</v>
      </c>
      <c r="H1530" s="13">
        <v>3000</v>
      </c>
      <c r="I1530" s="14">
        <f t="shared" si="54"/>
        <v>-1.8786199999999864E-2</v>
      </c>
      <c r="J1530" s="13">
        <f t="shared" si="55"/>
        <v>262988.84999999998</v>
      </c>
    </row>
    <row r="1531" spans="1:10" x14ac:dyDescent="0.25">
      <c r="A1531" s="10">
        <v>42330</v>
      </c>
      <c r="B1531" s="11" t="s">
        <v>2</v>
      </c>
      <c r="C1531" s="11" t="s">
        <v>5</v>
      </c>
      <c r="D1531" s="16" t="str">
        <f>HYPERLINK("https://freddywills.com/pick/337/chargers-3.html", "Chargers +3")</f>
        <v>Chargers +3</v>
      </c>
      <c r="E1531" s="11">
        <v>3</v>
      </c>
      <c r="F1531" s="11">
        <v>-1.1000000000000001</v>
      </c>
      <c r="G1531" s="11" t="s">
        <v>6</v>
      </c>
      <c r="H1531" s="13">
        <v>-3000</v>
      </c>
      <c r="I1531" s="14">
        <f t="shared" si="54"/>
        <v>-4.8786199999999863E-2</v>
      </c>
      <c r="J1531" s="13">
        <f t="shared" si="55"/>
        <v>259988.84999999998</v>
      </c>
    </row>
    <row r="1532" spans="1:10" x14ac:dyDescent="0.25">
      <c r="A1532" s="10">
        <v>42330</v>
      </c>
      <c r="B1532" s="11" t="s">
        <v>2</v>
      </c>
      <c r="C1532" s="11" t="s">
        <v>5</v>
      </c>
      <c r="D1532" s="16" t="str">
        <f>HYPERLINK("https://freddywills.com/pick/338/raiders-1.html", "Raiders +1")</f>
        <v>Raiders +1</v>
      </c>
      <c r="E1532" s="11">
        <v>3.3</v>
      </c>
      <c r="F1532" s="11">
        <v>-1.1000000000000001</v>
      </c>
      <c r="G1532" s="11" t="s">
        <v>6</v>
      </c>
      <c r="H1532" s="13">
        <v>-3300</v>
      </c>
      <c r="I1532" s="14">
        <f t="shared" si="54"/>
        <v>-1.8786199999999864E-2</v>
      </c>
      <c r="J1532" s="13">
        <f t="shared" si="55"/>
        <v>262988.84999999998</v>
      </c>
    </row>
    <row r="1533" spans="1:10" x14ac:dyDescent="0.25">
      <c r="A1533" s="10">
        <v>42330</v>
      </c>
      <c r="B1533" s="11" t="s">
        <v>2</v>
      </c>
      <c r="C1533" s="11" t="s">
        <v>5</v>
      </c>
      <c r="D1533" s="16" t="str">
        <f>HYPERLINK("https://freddywills.com/pick/339/packers-pk.html", "Packers pk")</f>
        <v>Packers pk</v>
      </c>
      <c r="E1533" s="11">
        <v>3.3</v>
      </c>
      <c r="F1533" s="11">
        <v>-1.1000000000000001</v>
      </c>
      <c r="G1533" s="11" t="s">
        <v>4</v>
      </c>
      <c r="H1533" s="13">
        <v>3000</v>
      </c>
      <c r="I1533" s="14">
        <f t="shared" si="54"/>
        <v>1.4213800000000137E-2</v>
      </c>
      <c r="J1533" s="13">
        <f t="shared" si="55"/>
        <v>266288.84999999998</v>
      </c>
    </row>
    <row r="1534" spans="1:10" x14ac:dyDescent="0.25">
      <c r="A1534" s="10">
        <v>42329</v>
      </c>
      <c r="B1534" s="11" t="s">
        <v>8</v>
      </c>
      <c r="C1534" s="11" t="s">
        <v>5</v>
      </c>
      <c r="D1534" s="16" t="str">
        <f>HYPERLINK("https://freddywills.com/pick/340/idaho-33.html", "Idaho +33")</f>
        <v>Idaho +33</v>
      </c>
      <c r="E1534" s="11">
        <v>1.1000000000000001</v>
      </c>
      <c r="F1534" s="11">
        <v>-1.1000000000000001</v>
      </c>
      <c r="G1534" s="11" t="s">
        <v>4</v>
      </c>
      <c r="H1534" s="13">
        <v>1000</v>
      </c>
      <c r="I1534" s="14">
        <f t="shared" si="54"/>
        <v>-1.5786199999999861E-2</v>
      </c>
      <c r="J1534" s="13">
        <f t="shared" si="55"/>
        <v>263288.84999999998</v>
      </c>
    </row>
    <row r="1535" spans="1:10" x14ac:dyDescent="0.25">
      <c r="A1535" s="10">
        <v>42329</v>
      </c>
      <c r="B1535" s="11" t="s">
        <v>8</v>
      </c>
      <c r="C1535" s="11" t="s">
        <v>5</v>
      </c>
      <c r="D1535" s="16" t="str">
        <f>HYPERLINK("https://freddywills.com/pick/341/northwestern-10.html", "Northwestern +10")</f>
        <v>Northwestern +10</v>
      </c>
      <c r="E1535" s="11">
        <v>2.2000000000000002</v>
      </c>
      <c r="F1535" s="11">
        <v>-1.1000000000000001</v>
      </c>
      <c r="G1535" s="11" t="s">
        <v>4</v>
      </c>
      <c r="H1535" s="13">
        <v>2000</v>
      </c>
      <c r="I1535" s="14">
        <f t="shared" si="54"/>
        <v>-2.578619999999986E-2</v>
      </c>
      <c r="J1535" s="13">
        <f t="shared" si="55"/>
        <v>262288.84999999998</v>
      </c>
    </row>
    <row r="1536" spans="1:10" x14ac:dyDescent="0.25">
      <c r="A1536" s="10">
        <v>42329</v>
      </c>
      <c r="B1536" s="11" t="s">
        <v>8</v>
      </c>
      <c r="C1536" s="11" t="s">
        <v>5</v>
      </c>
      <c r="D1536" s="16" t="str">
        <f>HYPERLINK("https://freddywills.com/pick/342/illinois-5.html", "Illinois +5")</f>
        <v>Illinois +5</v>
      </c>
      <c r="E1536" s="11">
        <v>3.3</v>
      </c>
      <c r="F1536" s="11">
        <v>-1.1000000000000001</v>
      </c>
      <c r="G1536" s="11" t="s">
        <v>4</v>
      </c>
      <c r="H1536" s="13">
        <v>3000</v>
      </c>
      <c r="I1536" s="14">
        <f t="shared" si="54"/>
        <v>-4.578619999999986E-2</v>
      </c>
      <c r="J1536" s="13">
        <f t="shared" si="55"/>
        <v>260288.84999999998</v>
      </c>
    </row>
    <row r="1537" spans="1:10" x14ac:dyDescent="0.25">
      <c r="A1537" s="10">
        <v>42329</v>
      </c>
      <c r="B1537" s="11" t="s">
        <v>8</v>
      </c>
      <c r="C1537" s="11" t="s">
        <v>10</v>
      </c>
      <c r="D1537" s="16" t="str">
        <f>HYPERLINK("https://freddywills.com/pick/343/duke-8-5-kansas-state-pk.html", "DUKE +8.5 / KANSAS STATE PK")</f>
        <v>DUKE +8.5 / KANSAS STATE PK</v>
      </c>
      <c r="E1537" s="11">
        <v>4.4000000000000004</v>
      </c>
      <c r="F1537" s="11">
        <v>-1.1000000000000001</v>
      </c>
      <c r="G1537" s="11" t="s">
        <v>4</v>
      </c>
      <c r="H1537" s="13">
        <v>4000</v>
      </c>
      <c r="I1537" s="14">
        <f t="shared" si="54"/>
        <v>-7.5786199999999859E-2</v>
      </c>
      <c r="J1537" s="13">
        <f t="shared" si="55"/>
        <v>257288.84999999998</v>
      </c>
    </row>
    <row r="1538" spans="1:10" x14ac:dyDescent="0.25">
      <c r="A1538" s="10">
        <v>42329</v>
      </c>
      <c r="B1538" s="11" t="s">
        <v>8</v>
      </c>
      <c r="C1538" s="11" t="s">
        <v>5</v>
      </c>
      <c r="D1538" s="16" t="str">
        <f>HYPERLINK("https://freddywills.com/pick/344/usc-4-5.html", "USC +4.5")</f>
        <v>USC +4.5</v>
      </c>
      <c r="E1538" s="11">
        <v>5.5</v>
      </c>
      <c r="F1538" s="11">
        <v>-1.1000000000000001</v>
      </c>
      <c r="G1538" s="11" t="s">
        <v>6</v>
      </c>
      <c r="H1538" s="13">
        <v>-5500</v>
      </c>
      <c r="I1538" s="14">
        <f t="shared" si="54"/>
        <v>-0.11578619999999987</v>
      </c>
      <c r="J1538" s="13">
        <f t="shared" si="55"/>
        <v>253288.84999999998</v>
      </c>
    </row>
    <row r="1539" spans="1:10" x14ac:dyDescent="0.25">
      <c r="A1539" s="10">
        <v>42329</v>
      </c>
      <c r="B1539" s="11" t="s">
        <v>8</v>
      </c>
      <c r="C1539" s="11" t="s">
        <v>5</v>
      </c>
      <c r="D1539" s="16" t="str">
        <f>HYPERLINK("https://freddywills.com/pick/345/okl-state-pk.html", "Okl State pk")</f>
        <v>Okl State pk</v>
      </c>
      <c r="E1539" s="11">
        <v>2.2000000000000002</v>
      </c>
      <c r="F1539" s="11">
        <v>-1.1000000000000001</v>
      </c>
      <c r="G1539" s="11" t="s">
        <v>6</v>
      </c>
      <c r="H1539" s="13">
        <v>-2200</v>
      </c>
      <c r="I1539" s="14">
        <f t="shared" si="54"/>
        <v>-6.0786199999999867E-2</v>
      </c>
      <c r="J1539" s="13">
        <f t="shared" si="55"/>
        <v>258788.84999999998</v>
      </c>
    </row>
    <row r="1540" spans="1:10" x14ac:dyDescent="0.25">
      <c r="A1540" s="10">
        <v>42329</v>
      </c>
      <c r="B1540" s="11" t="s">
        <v>8</v>
      </c>
      <c r="C1540" s="11" t="s">
        <v>5</v>
      </c>
      <c r="D1540" s="16" t="str">
        <f>HYPERLINK("https://freddywills.com/pick/346/rutgers-4-5.html", "Rutgers -4.5")</f>
        <v>Rutgers -4.5</v>
      </c>
      <c r="E1540" s="11">
        <v>2.2000000000000002</v>
      </c>
      <c r="F1540" s="11">
        <v>-1.1000000000000001</v>
      </c>
      <c r="G1540" s="11" t="s">
        <v>4</v>
      </c>
      <c r="H1540" s="13">
        <v>2000</v>
      </c>
      <c r="I1540" s="14">
        <f t="shared" si="54"/>
        <v>-3.8786199999999868E-2</v>
      </c>
      <c r="J1540" s="13">
        <f t="shared" si="55"/>
        <v>260988.84999999998</v>
      </c>
    </row>
    <row r="1541" spans="1:10" x14ac:dyDescent="0.25">
      <c r="A1541" s="10">
        <v>42329</v>
      </c>
      <c r="B1541" s="11" t="s">
        <v>8</v>
      </c>
      <c r="C1541" s="11" t="s">
        <v>7</v>
      </c>
      <c r="D1541" s="16" t="str">
        <f>HYPERLINK("https://freddywills.com/pick/347/baylor-okl-st-u78.html", "Baylor/ Okl St U78")</f>
        <v>Baylor/ Okl St U78</v>
      </c>
      <c r="E1541" s="11">
        <v>3.3</v>
      </c>
      <c r="F1541" s="11">
        <v>-1.1000000000000001</v>
      </c>
      <c r="G1541" s="11" t="s">
        <v>6</v>
      </c>
      <c r="H1541" s="13">
        <v>-3300</v>
      </c>
      <c r="I1541" s="14">
        <f t="shared" si="54"/>
        <v>-5.8786199999999865E-2</v>
      </c>
      <c r="J1541" s="13">
        <f t="shared" si="55"/>
        <v>258988.84999999998</v>
      </c>
    </row>
    <row r="1542" spans="1:10" x14ac:dyDescent="0.25">
      <c r="A1542" s="10">
        <v>42328</v>
      </c>
      <c r="B1542" s="11" t="s">
        <v>8</v>
      </c>
      <c r="C1542" s="11" t="s">
        <v>5</v>
      </c>
      <c r="D1542" s="16" t="str">
        <f>HYPERLINK("https://freddywills.com/pick/348/cincinnati-1-5.html", "Cincinnati -1.5")</f>
        <v>Cincinnati -1.5</v>
      </c>
      <c r="E1542" s="11">
        <v>3.3</v>
      </c>
      <c r="F1542" s="11">
        <v>-1.1000000000000001</v>
      </c>
      <c r="G1542" s="11" t="s">
        <v>6</v>
      </c>
      <c r="H1542" s="13">
        <v>-3300</v>
      </c>
      <c r="I1542" s="14">
        <f t="shared" si="54"/>
        <v>-2.5786199999999863E-2</v>
      </c>
      <c r="J1542" s="13">
        <f t="shared" si="55"/>
        <v>262288.84999999998</v>
      </c>
    </row>
    <row r="1543" spans="1:10" x14ac:dyDescent="0.25">
      <c r="A1543" s="10">
        <v>42327</v>
      </c>
      <c r="B1543" s="11" t="s">
        <v>2</v>
      </c>
      <c r="C1543" s="11" t="s">
        <v>5</v>
      </c>
      <c r="D1543" s="16" t="str">
        <f>HYPERLINK("https://freddywills.com/pick/349/titans-3.html", "Titans +3")</f>
        <v>Titans +3</v>
      </c>
      <c r="E1543" s="11">
        <v>3.3</v>
      </c>
      <c r="F1543" s="11">
        <v>-1.1000000000000001</v>
      </c>
      <c r="G1543" s="11" t="s">
        <v>6</v>
      </c>
      <c r="H1543" s="13">
        <v>-3300</v>
      </c>
      <c r="I1543" s="14">
        <f t="shared" si="54"/>
        <v>7.2138000000001382E-3</v>
      </c>
      <c r="J1543" s="13">
        <f t="shared" si="55"/>
        <v>265588.84999999998</v>
      </c>
    </row>
    <row r="1544" spans="1:10" x14ac:dyDescent="0.25">
      <c r="A1544" s="10">
        <v>42326</v>
      </c>
      <c r="B1544" s="11" t="s">
        <v>8</v>
      </c>
      <c r="C1544" s="11" t="s">
        <v>5</v>
      </c>
      <c r="D1544" s="16" t="str">
        <f>HYPERLINK("https://freddywills.com/pick/350/kent-state-8-5.html", "Kent State +8.5")</f>
        <v>Kent State +8.5</v>
      </c>
      <c r="E1544" s="11">
        <v>2.2000000000000002</v>
      </c>
      <c r="F1544" s="11">
        <v>-1.1000000000000001</v>
      </c>
      <c r="G1544" s="11" t="s">
        <v>6</v>
      </c>
      <c r="H1544" s="13">
        <v>-2200</v>
      </c>
      <c r="I1544" s="14">
        <f t="shared" si="54"/>
        <v>4.021380000000014E-2</v>
      </c>
      <c r="J1544" s="13">
        <f t="shared" si="55"/>
        <v>268888.84999999998</v>
      </c>
    </row>
    <row r="1545" spans="1:10" x14ac:dyDescent="0.25">
      <c r="A1545" s="10">
        <v>42326</v>
      </c>
      <c r="B1545" s="11" t="s">
        <v>8</v>
      </c>
      <c r="C1545" s="11" t="s">
        <v>7</v>
      </c>
      <c r="D1545" s="16" t="str">
        <f>HYPERLINK("https://freddywills.com/pick/351/nil-wmu-u61.html", "NIL/WMU U61")</f>
        <v>NIL/WMU U61</v>
      </c>
      <c r="E1545" s="11">
        <v>3.3</v>
      </c>
      <c r="F1545" s="11">
        <v>-1.1000000000000001</v>
      </c>
      <c r="G1545" s="11" t="s">
        <v>4</v>
      </c>
      <c r="H1545" s="13">
        <v>3000</v>
      </c>
      <c r="I1545" s="14">
        <f t="shared" si="54"/>
        <v>6.2213800000000138E-2</v>
      </c>
      <c r="J1545" s="13">
        <f t="shared" si="55"/>
        <v>271088.84999999998</v>
      </c>
    </row>
    <row r="1546" spans="1:10" x14ac:dyDescent="0.25">
      <c r="A1546" s="10">
        <v>42325</v>
      </c>
      <c r="B1546" s="11" t="s">
        <v>8</v>
      </c>
      <c r="C1546" s="11" t="s">
        <v>5</v>
      </c>
      <c r="D1546" s="16" t="str">
        <f>HYPERLINK("https://freddywills.com/pick/352/ball-st-9.html", "Ball st +9")</f>
        <v>Ball st +9</v>
      </c>
      <c r="E1546" s="11">
        <v>3.3</v>
      </c>
      <c r="F1546" s="11">
        <v>-1.1000000000000001</v>
      </c>
      <c r="G1546" s="11" t="s">
        <v>6</v>
      </c>
      <c r="H1546" s="13">
        <v>-3300</v>
      </c>
      <c r="I1546" s="14">
        <f t="shared" si="54"/>
        <v>3.221380000000014E-2</v>
      </c>
      <c r="J1546" s="13">
        <f t="shared" si="55"/>
        <v>268088.84999999998</v>
      </c>
    </row>
    <row r="1547" spans="1:10" x14ac:dyDescent="0.25">
      <c r="A1547" s="10">
        <v>42323</v>
      </c>
      <c r="B1547" s="11" t="s">
        <v>2</v>
      </c>
      <c r="C1547" s="11" t="s">
        <v>5</v>
      </c>
      <c r="D1547" s="16" t="str">
        <f>HYPERLINK("https://freddywills.com/pick/353/giants-7-5.html", "Giants +7.5")</f>
        <v>Giants +7.5</v>
      </c>
      <c r="E1547" s="11">
        <v>1.1000000000000001</v>
      </c>
      <c r="F1547" s="11">
        <v>-1.1000000000000001</v>
      </c>
      <c r="G1547" s="11" t="s">
        <v>4</v>
      </c>
      <c r="H1547" s="13">
        <v>1000</v>
      </c>
      <c r="I1547" s="14">
        <f t="shared" si="54"/>
        <v>6.5213800000000141E-2</v>
      </c>
      <c r="J1547" s="13">
        <f t="shared" si="55"/>
        <v>271388.84999999998</v>
      </c>
    </row>
    <row r="1548" spans="1:10" x14ac:dyDescent="0.25">
      <c r="A1548" s="10">
        <v>42323</v>
      </c>
      <c r="B1548" s="11" t="s">
        <v>2</v>
      </c>
      <c r="C1548" s="11" t="s">
        <v>5</v>
      </c>
      <c r="D1548" s="16" t="str">
        <f>HYPERLINK("https://freddywills.com/pick/354/seahwaks-3.html", "seahwaks -3")</f>
        <v>seahwaks -3</v>
      </c>
      <c r="E1548" s="11">
        <v>3</v>
      </c>
      <c r="F1548" s="11">
        <v>-1.1000000000000001</v>
      </c>
      <c r="G1548" s="11" t="s">
        <v>6</v>
      </c>
      <c r="H1548" s="13">
        <v>-3000</v>
      </c>
      <c r="I1548" s="14">
        <f t="shared" si="54"/>
        <v>5.5213800000000146E-2</v>
      </c>
      <c r="J1548" s="13">
        <f t="shared" si="55"/>
        <v>270388.84999999998</v>
      </c>
    </row>
    <row r="1549" spans="1:10" x14ac:dyDescent="0.25">
      <c r="A1549" s="10">
        <v>42323</v>
      </c>
      <c r="B1549" s="11" t="s">
        <v>2</v>
      </c>
      <c r="C1549" s="11" t="s">
        <v>5</v>
      </c>
      <c r="D1549" s="16" t="str">
        <f>HYPERLINK("https://freddywills.com/pick/355/titans-4.html", "Titans +4")</f>
        <v>Titans +4</v>
      </c>
      <c r="E1549" s="11">
        <v>3.3</v>
      </c>
      <c r="F1549" s="11">
        <v>-1.1000000000000001</v>
      </c>
      <c r="G1549" s="11" t="s">
        <v>6</v>
      </c>
      <c r="H1549" s="13">
        <v>-3300</v>
      </c>
      <c r="I1549" s="14">
        <f t="shared" si="54"/>
        <v>8.5213800000000145E-2</v>
      </c>
      <c r="J1549" s="13">
        <f t="shared" si="55"/>
        <v>273388.84999999998</v>
      </c>
    </row>
    <row r="1550" spans="1:10" x14ac:dyDescent="0.25">
      <c r="A1550" s="10">
        <v>42323</v>
      </c>
      <c r="B1550" s="11" t="s">
        <v>2</v>
      </c>
      <c r="C1550" s="11" t="s">
        <v>5</v>
      </c>
      <c r="D1550" s="16" t="str">
        <f>HYPERLINK("https://freddywills.com/pick/356/raiders-3.html", "Raiders -3")</f>
        <v>Raiders -3</v>
      </c>
      <c r="E1550" s="11">
        <v>5.5</v>
      </c>
      <c r="F1550" s="11">
        <v>-1.1000000000000001</v>
      </c>
      <c r="G1550" s="11" t="s">
        <v>6</v>
      </c>
      <c r="H1550" s="13">
        <v>-5500</v>
      </c>
      <c r="I1550" s="14">
        <f t="shared" si="54"/>
        <v>0.11821380000000015</v>
      </c>
      <c r="J1550" s="13">
        <f t="shared" si="55"/>
        <v>276688.84999999998</v>
      </c>
    </row>
    <row r="1551" spans="1:10" x14ac:dyDescent="0.25">
      <c r="A1551" s="10">
        <v>42322</v>
      </c>
      <c r="B1551" s="11" t="s">
        <v>8</v>
      </c>
      <c r="C1551" s="11" t="s">
        <v>5</v>
      </c>
      <c r="D1551" s="16" t="str">
        <f>HYPERLINK("https://freddywills.com/pick/357/missouri-6-5.html", "Missouri +6.5")</f>
        <v>Missouri +6.5</v>
      </c>
      <c r="E1551" s="11">
        <v>5.5</v>
      </c>
      <c r="F1551" s="11">
        <v>-1.1000000000000001</v>
      </c>
      <c r="G1551" s="11" t="s">
        <v>4</v>
      </c>
      <c r="H1551" s="13">
        <v>5000</v>
      </c>
      <c r="I1551" s="14">
        <f t="shared" si="54"/>
        <v>0.17321380000000014</v>
      </c>
      <c r="J1551" s="13">
        <f t="shared" si="55"/>
        <v>282188.84999999998</v>
      </c>
    </row>
    <row r="1552" spans="1:10" x14ac:dyDescent="0.25">
      <c r="A1552" s="10">
        <v>42322</v>
      </c>
      <c r="B1552" s="11" t="s">
        <v>8</v>
      </c>
      <c r="C1552" s="11" t="s">
        <v>5</v>
      </c>
      <c r="D1552" s="16" t="str">
        <f>HYPERLINK("https://freddywills.com/pick/358/airforce-1-5.html", "AirForce +1.5")</f>
        <v>AirForce +1.5</v>
      </c>
      <c r="E1552" s="11">
        <v>4.4000000000000004</v>
      </c>
      <c r="F1552" s="11">
        <v>-1.1000000000000001</v>
      </c>
      <c r="G1552" s="11" t="s">
        <v>4</v>
      </c>
      <c r="H1552" s="13">
        <v>4000</v>
      </c>
      <c r="I1552" s="14">
        <f t="shared" si="54"/>
        <v>0.12321380000000015</v>
      </c>
      <c r="J1552" s="13">
        <f t="shared" si="55"/>
        <v>277188.84999999998</v>
      </c>
    </row>
    <row r="1553" spans="1:10" x14ac:dyDescent="0.25">
      <c r="A1553" s="10">
        <v>42322</v>
      </c>
      <c r="B1553" s="11" t="s">
        <v>8</v>
      </c>
      <c r="C1553" s="11" t="s">
        <v>5</v>
      </c>
      <c r="D1553" s="16" t="str">
        <f>HYPERLINK("https://freddywills.com/pick/359/georgia-2.html", "Georgia +2")</f>
        <v>Georgia +2</v>
      </c>
      <c r="E1553" s="11">
        <v>3.3</v>
      </c>
      <c r="F1553" s="11">
        <v>-1.1000000000000001</v>
      </c>
      <c r="G1553" s="11" t="s">
        <v>4</v>
      </c>
      <c r="H1553" s="13">
        <v>3000</v>
      </c>
      <c r="I1553" s="14">
        <f t="shared" si="54"/>
        <v>8.3213800000000143E-2</v>
      </c>
      <c r="J1553" s="13">
        <f t="shared" si="55"/>
        <v>273188.84999999998</v>
      </c>
    </row>
    <row r="1554" spans="1:10" x14ac:dyDescent="0.25">
      <c r="A1554" s="10">
        <v>42322</v>
      </c>
      <c r="B1554" s="11" t="s">
        <v>8</v>
      </c>
      <c r="C1554" s="11" t="s">
        <v>5</v>
      </c>
      <c r="D1554" s="16" t="str">
        <f>HYPERLINK("https://freddywills.com/pick/360/syracuse-28-5.html", "Syracuse +28.5")</f>
        <v>Syracuse +28.5</v>
      </c>
      <c r="E1554" s="11">
        <v>1.1000000000000001</v>
      </c>
      <c r="F1554" s="11">
        <v>-1.1000000000000001</v>
      </c>
      <c r="G1554" s="11" t="s">
        <v>4</v>
      </c>
      <c r="H1554" s="13">
        <v>1000</v>
      </c>
      <c r="I1554" s="14">
        <f t="shared" si="54"/>
        <v>5.3213800000000151E-2</v>
      </c>
      <c r="J1554" s="13">
        <f t="shared" si="55"/>
        <v>270188.84999999998</v>
      </c>
    </row>
    <row r="1555" spans="1:10" x14ac:dyDescent="0.25">
      <c r="A1555" s="10">
        <v>42322</v>
      </c>
      <c r="B1555" s="11" t="s">
        <v>8</v>
      </c>
      <c r="C1555" s="11" t="s">
        <v>5</v>
      </c>
      <c r="D1555" s="16" t="str">
        <f>HYPERLINK("https://freddywills.com/pick/361/baylor-2-5.html", "Baylor -2.5")</f>
        <v>Baylor -2.5</v>
      </c>
      <c r="E1555" s="11">
        <v>4.4000000000000004</v>
      </c>
      <c r="F1555" s="11">
        <v>-1.1000000000000001</v>
      </c>
      <c r="G1555" s="11" t="s">
        <v>6</v>
      </c>
      <c r="H1555" s="13">
        <v>-4400</v>
      </c>
      <c r="I1555" s="14">
        <f t="shared" si="54"/>
        <v>4.3213800000000149E-2</v>
      </c>
      <c r="J1555" s="13">
        <f t="shared" si="55"/>
        <v>269188.84999999998</v>
      </c>
    </row>
    <row r="1556" spans="1:10" x14ac:dyDescent="0.25">
      <c r="A1556" s="10">
        <v>42322</v>
      </c>
      <c r="B1556" s="11" t="s">
        <v>8</v>
      </c>
      <c r="C1556" s="11" t="s">
        <v>5</v>
      </c>
      <c r="D1556" s="16" t="str">
        <f>HYPERLINK("https://freddywills.com/pick/362/kentucky-3-5.html", "Kentucky +3.5")</f>
        <v>Kentucky +3.5</v>
      </c>
      <c r="E1556" s="11">
        <v>3.3</v>
      </c>
      <c r="F1556" s="11">
        <v>-1.1000000000000001</v>
      </c>
      <c r="G1556" s="11" t="s">
        <v>6</v>
      </c>
      <c r="H1556" s="13">
        <v>-3300</v>
      </c>
      <c r="I1556" s="14">
        <f t="shared" si="54"/>
        <v>8.7213800000000147E-2</v>
      </c>
      <c r="J1556" s="13">
        <f t="shared" si="55"/>
        <v>273588.84999999998</v>
      </c>
    </row>
    <row r="1557" spans="1:10" x14ac:dyDescent="0.25">
      <c r="A1557" s="10">
        <v>42322</v>
      </c>
      <c r="B1557" s="11" t="s">
        <v>8</v>
      </c>
      <c r="C1557" s="11" t="s">
        <v>10</v>
      </c>
      <c r="D1557" s="16" t="str">
        <f>HYPERLINK("https://freddywills.com/pick/363/south-florida-8-5-florida-gators-1-5.html", "South Florida +8.5 / Florida Gators -1.5")</f>
        <v>South Florida +8.5 / Florida Gators -1.5</v>
      </c>
      <c r="E1557" s="11">
        <v>4.4000000000000004</v>
      </c>
      <c r="F1557" s="11">
        <v>-1.1000000000000001</v>
      </c>
      <c r="G1557" s="11" t="s">
        <v>4</v>
      </c>
      <c r="H1557" s="13">
        <v>4000</v>
      </c>
      <c r="I1557" s="14">
        <f t="shared" si="54"/>
        <v>0.12021380000000015</v>
      </c>
      <c r="J1557" s="13">
        <f t="shared" si="55"/>
        <v>276888.84999999998</v>
      </c>
    </row>
    <row r="1558" spans="1:10" x14ac:dyDescent="0.25">
      <c r="A1558" s="10">
        <v>42322</v>
      </c>
      <c r="B1558" s="11" t="s">
        <v>8</v>
      </c>
      <c r="C1558" s="11" t="s">
        <v>18</v>
      </c>
      <c r="D1558" s="16" t="str">
        <f>HYPERLINK("https://freddywills.com/pick/364/mizzou-220.html", "Mizzou +220")</f>
        <v>Mizzou +220</v>
      </c>
      <c r="E1558" s="11">
        <v>1</v>
      </c>
      <c r="F1558" s="11">
        <v>2.2000000000000002</v>
      </c>
      <c r="G1558" s="11" t="s">
        <v>4</v>
      </c>
      <c r="H1558" s="13">
        <v>2200</v>
      </c>
      <c r="I1558" s="14">
        <f t="shared" si="54"/>
        <v>8.0213800000000141E-2</v>
      </c>
      <c r="J1558" s="13">
        <f t="shared" si="55"/>
        <v>272888.84999999998</v>
      </c>
    </row>
    <row r="1559" spans="1:10" x14ac:dyDescent="0.25">
      <c r="A1559" s="10">
        <v>42320</v>
      </c>
      <c r="B1559" s="11" t="s">
        <v>8</v>
      </c>
      <c r="C1559" s="11" t="s">
        <v>18</v>
      </c>
      <c r="D1559" s="16" t="str">
        <f>HYPERLINK("https://freddywills.com/pick/365/virginia-tech-150.html", "Virginia Tech +150")</f>
        <v>Virginia Tech +150</v>
      </c>
      <c r="E1559" s="11">
        <v>2</v>
      </c>
      <c r="F1559" s="11">
        <v>1.5</v>
      </c>
      <c r="G1559" s="11" t="s">
        <v>4</v>
      </c>
      <c r="H1559" s="13">
        <v>3000</v>
      </c>
      <c r="I1559" s="14">
        <f t="shared" si="54"/>
        <v>5.8213800000000142E-2</v>
      </c>
      <c r="J1559" s="13">
        <f t="shared" si="55"/>
        <v>270688.84999999998</v>
      </c>
    </row>
    <row r="1560" spans="1:10" x14ac:dyDescent="0.25">
      <c r="A1560" s="10">
        <v>42319</v>
      </c>
      <c r="B1560" s="11" t="s">
        <v>8</v>
      </c>
      <c r="C1560" s="11" t="s">
        <v>18</v>
      </c>
      <c r="D1560" s="16" t="str">
        <f>HYPERLINK("https://freddywills.com/pick/366/western-mich-135.html", "Western Mich +135")</f>
        <v>Western Mich +135</v>
      </c>
      <c r="E1560" s="11">
        <v>4</v>
      </c>
      <c r="F1560" s="11">
        <v>1.35</v>
      </c>
      <c r="G1560" s="11" t="s">
        <v>6</v>
      </c>
      <c r="H1560" s="13">
        <v>-4000</v>
      </c>
      <c r="I1560" s="14">
        <f t="shared" si="54"/>
        <v>2.8213800000000143E-2</v>
      </c>
      <c r="J1560" s="13">
        <f t="shared" si="55"/>
        <v>267688.84999999998</v>
      </c>
    </row>
    <row r="1561" spans="1:10" x14ac:dyDescent="0.25">
      <c r="A1561" s="10">
        <v>42319</v>
      </c>
      <c r="B1561" s="11" t="s">
        <v>8</v>
      </c>
      <c r="C1561" s="11" t="s">
        <v>5</v>
      </c>
      <c r="D1561" s="16" t="str">
        <f>HYPERLINK("https://freddywills.com/pick/367/northern-illinois-6-5.html", "Northern Illinois -6.5")</f>
        <v>Northern Illinois -6.5</v>
      </c>
      <c r="E1561" s="11">
        <v>1.1000000000000001</v>
      </c>
      <c r="F1561" s="11">
        <v>-1.1000000000000001</v>
      </c>
      <c r="G1561" s="11" t="s">
        <v>4</v>
      </c>
      <c r="H1561" s="13">
        <v>1000</v>
      </c>
      <c r="I1561" s="14">
        <f t="shared" si="54"/>
        <v>6.8213800000000144E-2</v>
      </c>
      <c r="J1561" s="13">
        <f t="shared" si="55"/>
        <v>271688.84999999998</v>
      </c>
    </row>
    <row r="1562" spans="1:10" x14ac:dyDescent="0.25">
      <c r="A1562" s="10">
        <v>42318</v>
      </c>
      <c r="B1562" s="11" t="s">
        <v>8</v>
      </c>
      <c r="C1562" s="11" t="s">
        <v>5</v>
      </c>
      <c r="D1562" s="16" t="str">
        <f>HYPERLINK("https://freddywills.com/pick/368/central-mich-4.html", "Central Mich +4")</f>
        <v>Central Mich +4</v>
      </c>
      <c r="E1562" s="11">
        <v>3.3</v>
      </c>
      <c r="F1562" s="11">
        <v>-1.1000000000000001</v>
      </c>
      <c r="G1562" s="11" t="s">
        <v>6</v>
      </c>
      <c r="H1562" s="13">
        <v>-3300</v>
      </c>
      <c r="I1562" s="14">
        <f t="shared" si="54"/>
        <v>5.8213800000000149E-2</v>
      </c>
      <c r="J1562" s="13">
        <f t="shared" si="55"/>
        <v>270688.84999999998</v>
      </c>
    </row>
    <row r="1563" spans="1:10" x14ac:dyDescent="0.25">
      <c r="A1563" s="10">
        <v>42316</v>
      </c>
      <c r="B1563" s="11" t="s">
        <v>2</v>
      </c>
      <c r="C1563" s="11" t="s">
        <v>5</v>
      </c>
      <c r="D1563" s="16" t="str">
        <f>HYPERLINK("https://freddywills.com/pick/369/packers-2-5.html", "Packers -2.5")</f>
        <v>Packers -2.5</v>
      </c>
      <c r="E1563" s="11">
        <v>5.5</v>
      </c>
      <c r="F1563" s="11">
        <v>-1.1000000000000001</v>
      </c>
      <c r="G1563" s="11" t="s">
        <v>6</v>
      </c>
      <c r="H1563" s="13">
        <v>-5500</v>
      </c>
      <c r="I1563" s="14">
        <f t="shared" si="54"/>
        <v>9.121380000000015E-2</v>
      </c>
      <c r="J1563" s="13">
        <f t="shared" si="55"/>
        <v>273988.84999999998</v>
      </c>
    </row>
    <row r="1564" spans="1:10" x14ac:dyDescent="0.25">
      <c r="A1564" s="10">
        <v>42316</v>
      </c>
      <c r="B1564" s="11" t="s">
        <v>2</v>
      </c>
      <c r="C1564" s="11" t="s">
        <v>5</v>
      </c>
      <c r="D1564" s="16" t="str">
        <f>HYPERLINK("https://freddywills.com/pick/370/rams-1.html", "Rams +1")</f>
        <v>Rams +1</v>
      </c>
      <c r="E1564" s="11">
        <v>1.1000000000000001</v>
      </c>
      <c r="F1564" s="11">
        <v>-1.1000000000000001</v>
      </c>
      <c r="G1564" s="11" t="s">
        <v>6</v>
      </c>
      <c r="H1564" s="13">
        <v>-1100</v>
      </c>
      <c r="I1564" s="14">
        <f t="shared" si="54"/>
        <v>0.14621380000000014</v>
      </c>
      <c r="J1564" s="13">
        <f t="shared" si="55"/>
        <v>279488.84999999998</v>
      </c>
    </row>
    <row r="1565" spans="1:10" x14ac:dyDescent="0.25">
      <c r="A1565" s="10">
        <v>42316</v>
      </c>
      <c r="B1565" s="11" t="s">
        <v>2</v>
      </c>
      <c r="C1565" s="11" t="s">
        <v>5</v>
      </c>
      <c r="D1565" s="16" t="str">
        <f>HYPERLINK("https://freddywills.com/pick/371/redskins-14.html", "Redskins +14")</f>
        <v>Redskins +14</v>
      </c>
      <c r="E1565" s="11">
        <v>3.3</v>
      </c>
      <c r="F1565" s="11">
        <v>-1.1000000000000001</v>
      </c>
      <c r="G1565" s="11" t="s">
        <v>6</v>
      </c>
      <c r="H1565" s="13">
        <v>-3300</v>
      </c>
      <c r="I1565" s="14">
        <f t="shared" si="54"/>
        <v>0.15721380000000015</v>
      </c>
      <c r="J1565" s="13">
        <f t="shared" si="55"/>
        <v>280588.84999999998</v>
      </c>
    </row>
    <row r="1566" spans="1:10" x14ac:dyDescent="0.25">
      <c r="A1566" s="10">
        <v>42315</v>
      </c>
      <c r="B1566" s="11" t="s">
        <v>8</v>
      </c>
      <c r="C1566" s="11" t="s">
        <v>5</v>
      </c>
      <c r="D1566" s="16" t="str">
        <f>HYPERLINK("https://freddywills.com/pick/372/notre-dame-8-5.html", "Notre Dame -8.5")</f>
        <v>Notre Dame -8.5</v>
      </c>
      <c r="E1566" s="11">
        <v>1.1000000000000001</v>
      </c>
      <c r="F1566" s="11">
        <v>-1.1000000000000001</v>
      </c>
      <c r="G1566" s="11" t="s">
        <v>4</v>
      </c>
      <c r="H1566" s="13">
        <v>1000</v>
      </c>
      <c r="I1566" s="14">
        <f t="shared" si="54"/>
        <v>0.19021380000000015</v>
      </c>
      <c r="J1566" s="13">
        <f t="shared" si="55"/>
        <v>283888.84999999998</v>
      </c>
    </row>
    <row r="1567" spans="1:10" x14ac:dyDescent="0.25">
      <c r="A1567" s="10">
        <v>42315</v>
      </c>
      <c r="B1567" s="11" t="s">
        <v>8</v>
      </c>
      <c r="C1567" s="11" t="s">
        <v>5</v>
      </c>
      <c r="D1567" s="16" t="str">
        <f>HYPERLINK("https://freddywills.com/pick/373/maryland-11-5.html", "Maryland +11.5")</f>
        <v>Maryland +11.5</v>
      </c>
      <c r="E1567" s="11">
        <v>5.5</v>
      </c>
      <c r="F1567" s="11">
        <v>-1.1000000000000001</v>
      </c>
      <c r="G1567" s="11" t="s">
        <v>4</v>
      </c>
      <c r="H1567" s="13">
        <v>5000</v>
      </c>
      <c r="I1567" s="14">
        <f t="shared" si="54"/>
        <v>0.18021380000000015</v>
      </c>
      <c r="J1567" s="13">
        <f t="shared" si="55"/>
        <v>282888.84999999998</v>
      </c>
    </row>
    <row r="1568" spans="1:10" x14ac:dyDescent="0.25">
      <c r="A1568" s="10">
        <v>42315</v>
      </c>
      <c r="B1568" s="11" t="s">
        <v>8</v>
      </c>
      <c r="C1568" s="11" t="s">
        <v>5</v>
      </c>
      <c r="D1568" s="16" t="str">
        <f>HYPERLINK("https://freddywills.com/pick/374/oklahoma-state-4-5.html", "Oklahoma State +4.5")</f>
        <v>Oklahoma State +4.5</v>
      </c>
      <c r="E1568" s="11">
        <v>3.3</v>
      </c>
      <c r="F1568" s="11">
        <v>-1.1000000000000001</v>
      </c>
      <c r="G1568" s="11" t="s">
        <v>4</v>
      </c>
      <c r="H1568" s="13">
        <v>3000</v>
      </c>
      <c r="I1568" s="14">
        <f t="shared" si="54"/>
        <v>0.13021380000000013</v>
      </c>
      <c r="J1568" s="13">
        <f t="shared" si="55"/>
        <v>277888.84999999998</v>
      </c>
    </row>
    <row r="1569" spans="1:10" x14ac:dyDescent="0.25">
      <c r="A1569" s="10">
        <v>42315</v>
      </c>
      <c r="B1569" s="11" t="s">
        <v>8</v>
      </c>
      <c r="C1569" s="11" t="s">
        <v>5</v>
      </c>
      <c r="D1569" s="16" t="str">
        <f>HYPERLINK("https://freddywills.com/pick/375/duke-7-5.html", "Duke +7.5")</f>
        <v>Duke +7.5</v>
      </c>
      <c r="E1569" s="11">
        <v>3.3</v>
      </c>
      <c r="F1569" s="11">
        <v>-1.1000000000000001</v>
      </c>
      <c r="G1569" s="11" t="s">
        <v>6</v>
      </c>
      <c r="H1569" s="13">
        <v>-3300</v>
      </c>
      <c r="I1569" s="14">
        <f t="shared" si="54"/>
        <v>0.10021380000000013</v>
      </c>
      <c r="J1569" s="13">
        <f t="shared" si="55"/>
        <v>274888.84999999998</v>
      </c>
    </row>
    <row r="1570" spans="1:10" x14ac:dyDescent="0.25">
      <c r="A1570" s="10">
        <v>42315</v>
      </c>
      <c r="B1570" s="11" t="s">
        <v>8</v>
      </c>
      <c r="C1570" s="11" t="s">
        <v>5</v>
      </c>
      <c r="D1570" s="16" t="str">
        <f>HYPERLINK("https://freddywills.com/pick/376/mtsu-2-5.html", "MTSU -2.5")</f>
        <v>MTSU -2.5</v>
      </c>
      <c r="E1570" s="11">
        <v>4.4000000000000004</v>
      </c>
      <c r="F1570" s="11">
        <v>-1.1000000000000001</v>
      </c>
      <c r="G1570" s="11" t="s">
        <v>4</v>
      </c>
      <c r="H1570" s="13">
        <v>4000</v>
      </c>
      <c r="I1570" s="14">
        <f t="shared" si="54"/>
        <v>0.13321380000000013</v>
      </c>
      <c r="J1570" s="13">
        <f t="shared" si="55"/>
        <v>278188.84999999998</v>
      </c>
    </row>
    <row r="1571" spans="1:10" x14ac:dyDescent="0.25">
      <c r="A1571" s="10">
        <v>42315</v>
      </c>
      <c r="B1571" s="11" t="s">
        <v>8</v>
      </c>
      <c r="C1571" s="11" t="s">
        <v>5</v>
      </c>
      <c r="D1571" s="16" t="str">
        <f>HYPERLINK("https://freddywills.com/pick/377/cinci-8-5.html", "Cinci +8.5")</f>
        <v>Cinci +8.5</v>
      </c>
      <c r="E1571" s="11">
        <v>4.4000000000000004</v>
      </c>
      <c r="F1571" s="11">
        <v>-1.1000000000000001</v>
      </c>
      <c r="G1571" s="11" t="s">
        <v>4</v>
      </c>
      <c r="H1571" s="13">
        <v>4000</v>
      </c>
      <c r="I1571" s="14">
        <f t="shared" si="54"/>
        <v>9.3213800000000124E-2</v>
      </c>
      <c r="J1571" s="13">
        <f t="shared" si="55"/>
        <v>274188.84999999998</v>
      </c>
    </row>
    <row r="1572" spans="1:10" x14ac:dyDescent="0.25">
      <c r="A1572" s="10">
        <v>42315</v>
      </c>
      <c r="B1572" s="11" t="s">
        <v>8</v>
      </c>
      <c r="C1572" s="11" t="s">
        <v>5</v>
      </c>
      <c r="D1572" s="16" t="str">
        <f>HYPERLINK("https://freddywills.com/pick/378/oregon-3-5-100.html", "Oregon -3.5 +100")</f>
        <v>Oregon -3.5 +100</v>
      </c>
      <c r="E1572" s="11">
        <v>3</v>
      </c>
      <c r="F1572" s="11">
        <v>1</v>
      </c>
      <c r="G1572" s="11" t="s">
        <v>4</v>
      </c>
      <c r="H1572" s="13">
        <v>3000</v>
      </c>
      <c r="I1572" s="14">
        <f t="shared" si="54"/>
        <v>5.3213800000000117E-2</v>
      </c>
      <c r="J1572" s="13">
        <f t="shared" si="55"/>
        <v>270188.84999999998</v>
      </c>
    </row>
    <row r="1573" spans="1:10" x14ac:dyDescent="0.25">
      <c r="A1573" s="10">
        <v>42315</v>
      </c>
      <c r="B1573" s="11" t="s">
        <v>8</v>
      </c>
      <c r="C1573" s="11" t="s">
        <v>5</v>
      </c>
      <c r="D1573" s="16" t="str">
        <f>HYPERLINK("https://freddywills.com/pick/379/nebraska-4.html", "Nebraska +4")</f>
        <v>Nebraska +4</v>
      </c>
      <c r="E1573" s="11">
        <v>2.2000000000000002</v>
      </c>
      <c r="F1573" s="11">
        <v>-1.1000000000000001</v>
      </c>
      <c r="G1573" s="11" t="s">
        <v>4</v>
      </c>
      <c r="H1573" s="13">
        <v>2000</v>
      </c>
      <c r="I1573" s="14">
        <f t="shared" ref="I1573:I1636" si="56">(H1573/100000)+I1574</f>
        <v>2.3213800000000121E-2</v>
      </c>
      <c r="J1573" s="13">
        <f t="shared" ref="J1573:J1636" si="57">H1573+J1574</f>
        <v>267188.84999999998</v>
      </c>
    </row>
    <row r="1574" spans="1:10" x14ac:dyDescent="0.25">
      <c r="A1574" s="10">
        <v>42315</v>
      </c>
      <c r="B1574" s="11" t="s">
        <v>8</v>
      </c>
      <c r="C1574" s="11" t="s">
        <v>10</v>
      </c>
      <c r="D1574" s="16" t="str">
        <f>HYPERLINK("https://freddywills.com/pick/380/fsu-17-alabama-0-5.html", "FSU +17/Alabama -0.5")</f>
        <v>FSU +17/Alabama -0.5</v>
      </c>
      <c r="E1574" s="11">
        <v>3.3</v>
      </c>
      <c r="F1574" s="11">
        <v>-1.1000000000000001</v>
      </c>
      <c r="G1574" s="11" t="s">
        <v>4</v>
      </c>
      <c r="H1574" s="13">
        <v>3000</v>
      </c>
      <c r="I1574" s="14">
        <f t="shared" si="56"/>
        <v>3.2138000000001207E-3</v>
      </c>
      <c r="J1574" s="13">
        <f t="shared" si="57"/>
        <v>265188.84999999998</v>
      </c>
    </row>
    <row r="1575" spans="1:10" x14ac:dyDescent="0.25">
      <c r="A1575" s="10">
        <v>42313</v>
      </c>
      <c r="B1575" s="11" t="s">
        <v>8</v>
      </c>
      <c r="C1575" s="11" t="s">
        <v>5</v>
      </c>
      <c r="D1575" s="16" t="str">
        <f>HYPERLINK("https://freddywills.com/pick/381/missouri-8.html", "Missouri +8")</f>
        <v>Missouri +8</v>
      </c>
      <c r="E1575" s="11">
        <v>5.5</v>
      </c>
      <c r="F1575" s="11">
        <v>-1.1000000000000001</v>
      </c>
      <c r="G1575" s="11" t="s">
        <v>6</v>
      </c>
      <c r="H1575" s="13">
        <v>-5500</v>
      </c>
      <c r="I1575" s="14">
        <f t="shared" si="56"/>
        <v>-2.6786199999999878E-2</v>
      </c>
      <c r="J1575" s="13">
        <f t="shared" si="57"/>
        <v>262188.84999999998</v>
      </c>
    </row>
    <row r="1576" spans="1:10" x14ac:dyDescent="0.25">
      <c r="A1576" s="10">
        <v>42312</v>
      </c>
      <c r="B1576" s="11" t="s">
        <v>8</v>
      </c>
      <c r="C1576" s="11" t="s">
        <v>5</v>
      </c>
      <c r="D1576" s="16" t="str">
        <f>HYPERLINK("https://freddywills.com/pick/382/ohio-20-5.html", "Ohio +20.5")</f>
        <v>Ohio +20.5</v>
      </c>
      <c r="E1576" s="11">
        <v>3.3</v>
      </c>
      <c r="F1576" s="11">
        <v>-1.1000000000000001</v>
      </c>
      <c r="G1576" s="11" t="s">
        <v>6</v>
      </c>
      <c r="H1576" s="13">
        <v>-3300</v>
      </c>
      <c r="I1576" s="14">
        <f t="shared" si="56"/>
        <v>2.8213800000000122E-2</v>
      </c>
      <c r="J1576" s="13">
        <f t="shared" si="57"/>
        <v>267688.84999999998</v>
      </c>
    </row>
    <row r="1577" spans="1:10" x14ac:dyDescent="0.25">
      <c r="A1577" s="10">
        <v>42311</v>
      </c>
      <c r="B1577" s="11" t="s">
        <v>8</v>
      </c>
      <c r="C1577" s="11" t="s">
        <v>5</v>
      </c>
      <c r="D1577" s="16" t="str">
        <f>HYPERLINK("https://freddywills.com/pick/383/northern-illinois-7.html", "Northern Illinois +7")</f>
        <v>Northern Illinois +7</v>
      </c>
      <c r="E1577" s="11">
        <v>4.4000000000000004</v>
      </c>
      <c r="F1577" s="11">
        <v>-1.1000000000000001</v>
      </c>
      <c r="G1577" s="11" t="s">
        <v>4</v>
      </c>
      <c r="H1577" s="13">
        <v>4000</v>
      </c>
      <c r="I1577" s="14">
        <f t="shared" si="56"/>
        <v>6.1213800000000124E-2</v>
      </c>
      <c r="J1577" s="13">
        <f t="shared" si="57"/>
        <v>270988.84999999998</v>
      </c>
    </row>
    <row r="1578" spans="1:10" x14ac:dyDescent="0.25">
      <c r="A1578" s="10">
        <v>42310</v>
      </c>
      <c r="B1578" s="11" t="s">
        <v>2</v>
      </c>
      <c r="C1578" s="11" t="s">
        <v>5</v>
      </c>
      <c r="D1578" s="16" t="str">
        <f>HYPERLINK("https://freddywills.com/pick/384/colts-6.html", "COLTS +6")</f>
        <v>COLTS +6</v>
      </c>
      <c r="E1578" s="11">
        <v>5.5</v>
      </c>
      <c r="F1578" s="11">
        <v>-1.1000000000000001</v>
      </c>
      <c r="G1578" s="11" t="s">
        <v>4</v>
      </c>
      <c r="H1578" s="13">
        <v>5000</v>
      </c>
      <c r="I1578" s="14">
        <f t="shared" si="56"/>
        <v>2.1213800000000123E-2</v>
      </c>
      <c r="J1578" s="13">
        <f t="shared" si="57"/>
        <v>266988.84999999998</v>
      </c>
    </row>
    <row r="1579" spans="1:10" x14ac:dyDescent="0.25">
      <c r="A1579" s="10">
        <v>42309</v>
      </c>
      <c r="B1579" s="11" t="s">
        <v>2</v>
      </c>
      <c r="C1579" s="11" t="s">
        <v>10</v>
      </c>
      <c r="D1579" s="16" t="str">
        <f>HYPERLINK("https://freddywills.com/pick/385/bears-7-5-cowboys-10-5.html", "Bears +7.5 / Cowboys +10.5")</f>
        <v>Bears +7.5 / Cowboys +10.5</v>
      </c>
      <c r="E1579" s="11">
        <v>4.4000000000000004</v>
      </c>
      <c r="F1579" s="11">
        <v>-1.1000000000000001</v>
      </c>
      <c r="G1579" s="11" t="s">
        <v>4</v>
      </c>
      <c r="H1579" s="13">
        <v>4000</v>
      </c>
      <c r="I1579" s="14">
        <f t="shared" si="56"/>
        <v>-2.878619999999988E-2</v>
      </c>
      <c r="J1579" s="13">
        <f t="shared" si="57"/>
        <v>261988.84999999998</v>
      </c>
    </row>
    <row r="1580" spans="1:10" x14ac:dyDescent="0.25">
      <c r="A1580" s="10">
        <v>42309</v>
      </c>
      <c r="B1580" s="11" t="s">
        <v>2</v>
      </c>
      <c r="C1580" s="11" t="s">
        <v>5</v>
      </c>
      <c r="D1580" s="16" t="str">
        <f>HYPERLINK("https://freddywills.com/pick/386/saints-3.html", "Saints -3")</f>
        <v>Saints -3</v>
      </c>
      <c r="E1580" s="11">
        <v>3.3</v>
      </c>
      <c r="F1580" s="11">
        <v>-1.1000000000000001</v>
      </c>
      <c r="G1580" s="11" t="s">
        <v>9</v>
      </c>
      <c r="H1580" s="13">
        <v>0</v>
      </c>
      <c r="I1580" s="14">
        <f t="shared" si="56"/>
        <v>-6.8786199999999881E-2</v>
      </c>
      <c r="J1580" s="13">
        <f t="shared" si="57"/>
        <v>257988.84999999998</v>
      </c>
    </row>
    <row r="1581" spans="1:10" x14ac:dyDescent="0.25">
      <c r="A1581" s="10">
        <v>42309</v>
      </c>
      <c r="B1581" s="11" t="s">
        <v>2</v>
      </c>
      <c r="C1581" s="11" t="s">
        <v>5</v>
      </c>
      <c r="D1581" s="16" t="str">
        <f>HYPERLINK("https://freddywills.com/pick/387/steelers-1.html", "Steelers -1")</f>
        <v>Steelers -1</v>
      </c>
      <c r="E1581" s="11">
        <v>5.5</v>
      </c>
      <c r="F1581" s="11">
        <v>-1.1000000000000001</v>
      </c>
      <c r="G1581" s="11" t="s">
        <v>6</v>
      </c>
      <c r="H1581" s="13">
        <v>-5500</v>
      </c>
      <c r="I1581" s="14">
        <f t="shared" si="56"/>
        <v>-6.8786199999999881E-2</v>
      </c>
      <c r="J1581" s="13">
        <f t="shared" si="57"/>
        <v>257988.84999999998</v>
      </c>
    </row>
    <row r="1582" spans="1:10" x14ac:dyDescent="0.25">
      <c r="A1582" s="10">
        <v>42308</v>
      </c>
      <c r="B1582" s="11" t="s">
        <v>8</v>
      </c>
      <c r="C1582" s="11" t="s">
        <v>5</v>
      </c>
      <c r="D1582" s="16" t="str">
        <f>HYPERLINK("https://freddywills.com/pick/388/california-6.html", "California +6")</f>
        <v>California +6</v>
      </c>
      <c r="E1582" s="11">
        <v>2.2000000000000002</v>
      </c>
      <c r="F1582" s="11">
        <v>-1.1000000000000001</v>
      </c>
      <c r="G1582" s="11" t="s">
        <v>9</v>
      </c>
      <c r="H1582" s="13">
        <v>0</v>
      </c>
      <c r="I1582" s="14">
        <f t="shared" si="56"/>
        <v>-1.3786199999999887E-2</v>
      </c>
      <c r="J1582" s="13">
        <f t="shared" si="57"/>
        <v>263488.84999999998</v>
      </c>
    </row>
    <row r="1583" spans="1:10" x14ac:dyDescent="0.25">
      <c r="A1583" s="10">
        <v>42308</v>
      </c>
      <c r="B1583" s="11" t="s">
        <v>8</v>
      </c>
      <c r="C1583" s="11" t="s">
        <v>5</v>
      </c>
      <c r="D1583" s="16" t="str">
        <f>HYPERLINK("https://freddywills.com/pick/389/temple-11.html", "Temple +11")</f>
        <v>Temple +11</v>
      </c>
      <c r="E1583" s="11">
        <v>5.5</v>
      </c>
      <c r="F1583" s="11">
        <v>-1.1000000000000001</v>
      </c>
      <c r="G1583" s="11" t="s">
        <v>4</v>
      </c>
      <c r="H1583" s="13">
        <v>5000</v>
      </c>
      <c r="I1583" s="14">
        <f t="shared" si="56"/>
        <v>-1.3786199999999887E-2</v>
      </c>
      <c r="J1583" s="13">
        <f t="shared" si="57"/>
        <v>263488.84999999998</v>
      </c>
    </row>
    <row r="1584" spans="1:10" x14ac:dyDescent="0.25">
      <c r="A1584" s="10">
        <v>42308</v>
      </c>
      <c r="B1584" s="11" t="s">
        <v>8</v>
      </c>
      <c r="C1584" s="11" t="s">
        <v>5</v>
      </c>
      <c r="D1584" s="16" t="str">
        <f>HYPERLINK("https://freddywills.com/pick/390/florida-2-105.html", "Florida -2 -105")</f>
        <v>Florida -2 -105</v>
      </c>
      <c r="E1584" s="11">
        <v>3.3</v>
      </c>
      <c r="F1584" s="11">
        <v>-1.1000000000000001</v>
      </c>
      <c r="G1584" s="11" t="s">
        <v>4</v>
      </c>
      <c r="H1584" s="13">
        <v>3000</v>
      </c>
      <c r="I1584" s="14">
        <f t="shared" si="56"/>
        <v>-6.378619999999989E-2</v>
      </c>
      <c r="J1584" s="13">
        <f t="shared" si="57"/>
        <v>258488.84999999995</v>
      </c>
    </row>
    <row r="1585" spans="1:10" x14ac:dyDescent="0.25">
      <c r="A1585" s="10">
        <v>42308</v>
      </c>
      <c r="B1585" s="11" t="s">
        <v>8</v>
      </c>
      <c r="C1585" s="11" t="s">
        <v>5</v>
      </c>
      <c r="D1585" s="16" t="str">
        <f>HYPERLINK("https://freddywills.com/pick/391/virginia-6.html", "Virginia +6")</f>
        <v>Virginia +6</v>
      </c>
      <c r="E1585" s="11">
        <v>2.2000000000000002</v>
      </c>
      <c r="F1585" s="11">
        <v>-1.1000000000000001</v>
      </c>
      <c r="G1585" s="11" t="s">
        <v>4</v>
      </c>
      <c r="H1585" s="13">
        <v>2000</v>
      </c>
      <c r="I1585" s="14">
        <f t="shared" si="56"/>
        <v>-9.3786199999999889E-2</v>
      </c>
      <c r="J1585" s="13">
        <f t="shared" si="57"/>
        <v>255488.84999999995</v>
      </c>
    </row>
    <row r="1586" spans="1:10" x14ac:dyDescent="0.25">
      <c r="A1586" s="10">
        <v>42308</v>
      </c>
      <c r="B1586" s="11" t="s">
        <v>8</v>
      </c>
      <c r="C1586" s="11" t="s">
        <v>18</v>
      </c>
      <c r="D1586" s="16" t="str">
        <f>HYPERLINK("https://freddywills.com/pick/392/va-tech-125.html", "VA Tech -125")</f>
        <v>VA Tech -125</v>
      </c>
      <c r="E1586" s="11">
        <v>3</v>
      </c>
      <c r="F1586" s="11">
        <v>-1.25</v>
      </c>
      <c r="G1586" s="11" t="s">
        <v>4</v>
      </c>
      <c r="H1586" s="13">
        <v>2400</v>
      </c>
      <c r="I1586" s="14">
        <f t="shared" si="56"/>
        <v>-0.11378619999999989</v>
      </c>
      <c r="J1586" s="13">
        <f t="shared" si="57"/>
        <v>253488.84999999995</v>
      </c>
    </row>
    <row r="1587" spans="1:10" x14ac:dyDescent="0.25">
      <c r="A1587" s="10">
        <v>42308</v>
      </c>
      <c r="B1587" s="11" t="s">
        <v>8</v>
      </c>
      <c r="C1587" s="11" t="s">
        <v>5</v>
      </c>
      <c r="D1587" s="16" t="str">
        <f>HYPERLINK("https://freddywills.com/pick/393/auburn-7-5.html", "Auburn +7.5")</f>
        <v>Auburn +7.5</v>
      </c>
      <c r="E1587" s="11">
        <v>4.4000000000000004</v>
      </c>
      <c r="F1587" s="11">
        <v>-1.1000000000000001</v>
      </c>
      <c r="G1587" s="11" t="s">
        <v>6</v>
      </c>
      <c r="H1587" s="13">
        <v>-4400</v>
      </c>
      <c r="I1587" s="14">
        <f t="shared" si="56"/>
        <v>-0.13778619999999989</v>
      </c>
      <c r="J1587" s="13">
        <f t="shared" si="57"/>
        <v>251088.84999999995</v>
      </c>
    </row>
    <row r="1588" spans="1:10" x14ac:dyDescent="0.25">
      <c r="A1588" s="10">
        <v>42307</v>
      </c>
      <c r="B1588" s="11" t="s">
        <v>8</v>
      </c>
      <c r="C1588" s="11" t="s">
        <v>5</v>
      </c>
      <c r="D1588" s="16" t="str">
        <f>HYPERLINK("https://freddywills.com/pick/394/uconn-7-120.html", "Uconn +7 -120")</f>
        <v>Uconn +7 -120</v>
      </c>
      <c r="E1588" s="11">
        <v>3.5</v>
      </c>
      <c r="F1588" s="11">
        <v>-1.2</v>
      </c>
      <c r="G1588" s="11" t="s">
        <v>4</v>
      </c>
      <c r="H1588" s="13">
        <v>2916.67</v>
      </c>
      <c r="I1588" s="14">
        <f t="shared" si="56"/>
        <v>-9.3786199999999889E-2</v>
      </c>
      <c r="J1588" s="13">
        <f t="shared" si="57"/>
        <v>255488.84999999995</v>
      </c>
    </row>
    <row r="1589" spans="1:10" x14ac:dyDescent="0.25">
      <c r="A1589" s="10">
        <v>42306</v>
      </c>
      <c r="B1589" s="11" t="s">
        <v>2</v>
      </c>
      <c r="C1589" s="11" t="s">
        <v>5</v>
      </c>
      <c r="D1589" s="16" t="str">
        <f>HYPERLINK("https://freddywills.com/pick/395/dolphins-8-3-3-play.html", "Dolphins +8 3.3* play")</f>
        <v>Dolphins +8 3.3* play</v>
      </c>
      <c r="E1589" s="11">
        <v>3.3</v>
      </c>
      <c r="F1589" s="11">
        <v>-1.1000000000000001</v>
      </c>
      <c r="G1589" s="11" t="s">
        <v>6</v>
      </c>
      <c r="H1589" s="13">
        <v>-3300</v>
      </c>
      <c r="I1589" s="14">
        <f t="shared" si="56"/>
        <v>-0.12295289999999989</v>
      </c>
      <c r="J1589" s="13">
        <f t="shared" si="57"/>
        <v>252572.17999999993</v>
      </c>
    </row>
    <row r="1590" spans="1:10" x14ac:dyDescent="0.25">
      <c r="A1590" s="10">
        <v>42306</v>
      </c>
      <c r="B1590" s="11" t="s">
        <v>8</v>
      </c>
      <c r="C1590" s="11" t="s">
        <v>5</v>
      </c>
      <c r="D1590" s="16" t="str">
        <f>HYPERLINK("https://freddywills.com/pick/396/miami-oh-7-5.html", "Miami OH +7.5")</f>
        <v>Miami OH +7.5</v>
      </c>
      <c r="E1590" s="11">
        <v>3.3</v>
      </c>
      <c r="F1590" s="11">
        <v>-1.1000000000000001</v>
      </c>
      <c r="G1590" s="11" t="s">
        <v>4</v>
      </c>
      <c r="H1590" s="13">
        <v>3000</v>
      </c>
      <c r="I1590" s="14">
        <f t="shared" si="56"/>
        <v>-8.9952899999999891E-2</v>
      </c>
      <c r="J1590" s="13">
        <f t="shared" si="57"/>
        <v>255872.17999999993</v>
      </c>
    </row>
    <row r="1591" spans="1:10" x14ac:dyDescent="0.25">
      <c r="A1591" s="10">
        <v>42303</v>
      </c>
      <c r="B1591" s="11" t="s">
        <v>2</v>
      </c>
      <c r="C1591" s="11" t="s">
        <v>5</v>
      </c>
      <c r="D1591" s="16" t="str">
        <f>HYPERLINK("https://freddywills.com/pick/397/steelers-3-5.html", "Steelers +3.5")</f>
        <v>Steelers +3.5</v>
      </c>
      <c r="E1591" s="11">
        <v>3.3</v>
      </c>
      <c r="F1591" s="11">
        <v>-1.1000000000000001</v>
      </c>
      <c r="G1591" s="11" t="s">
        <v>4</v>
      </c>
      <c r="H1591" s="13">
        <v>3000</v>
      </c>
      <c r="I1591" s="14">
        <f t="shared" si="56"/>
        <v>-0.11995289999999989</v>
      </c>
      <c r="J1591" s="13">
        <f t="shared" si="57"/>
        <v>252872.17999999993</v>
      </c>
    </row>
    <row r="1592" spans="1:10" x14ac:dyDescent="0.25">
      <c r="A1592" s="10">
        <v>42302</v>
      </c>
      <c r="B1592" s="11" t="s">
        <v>2</v>
      </c>
      <c r="C1592" s="11" t="s">
        <v>18</v>
      </c>
      <c r="D1592" s="16" t="str">
        <f>HYPERLINK("https://freddywills.com/pick/398/lions-110.html", "Lions +110")</f>
        <v>Lions +110</v>
      </c>
      <c r="E1592" s="11">
        <v>5.5</v>
      </c>
      <c r="F1592" s="11">
        <v>1.1000000000000001</v>
      </c>
      <c r="G1592" s="11" t="s">
        <v>6</v>
      </c>
      <c r="H1592" s="13">
        <v>-5500</v>
      </c>
      <c r="I1592" s="14">
        <f t="shared" si="56"/>
        <v>-0.14995289999999989</v>
      </c>
      <c r="J1592" s="13">
        <f t="shared" si="57"/>
        <v>249872.17999999993</v>
      </c>
    </row>
    <row r="1593" spans="1:10" x14ac:dyDescent="0.25">
      <c r="A1593" s="10">
        <v>42302</v>
      </c>
      <c r="B1593" s="11" t="s">
        <v>2</v>
      </c>
      <c r="C1593" s="11" t="s">
        <v>5</v>
      </c>
      <c r="D1593" s="16" t="str">
        <f>HYPERLINK("https://freddywills.com/pick/399/titans-6.html", "Titans +6")</f>
        <v>Titans +6</v>
      </c>
      <c r="E1593" s="11">
        <v>1.1000000000000001</v>
      </c>
      <c r="F1593" s="11">
        <v>-1.1000000000000001</v>
      </c>
      <c r="G1593" s="11" t="s">
        <v>4</v>
      </c>
      <c r="H1593" s="13">
        <v>1000</v>
      </c>
      <c r="I1593" s="14">
        <f t="shared" si="56"/>
        <v>-9.4952899999999882E-2</v>
      </c>
      <c r="J1593" s="13">
        <f t="shared" si="57"/>
        <v>255372.17999999993</v>
      </c>
    </row>
    <row r="1594" spans="1:10" x14ac:dyDescent="0.25">
      <c r="A1594" s="10">
        <v>42302</v>
      </c>
      <c r="B1594" s="11" t="s">
        <v>2</v>
      </c>
      <c r="C1594" s="11" t="s">
        <v>5</v>
      </c>
      <c r="D1594" s="16" t="str">
        <f>HYPERLINK("https://freddywills.com/pick/400/giants-3.html", "Giants -3")</f>
        <v>Giants -3</v>
      </c>
      <c r="E1594" s="11">
        <v>4.4000000000000004</v>
      </c>
      <c r="F1594" s="11">
        <v>-1.1000000000000001</v>
      </c>
      <c r="G1594" s="11" t="s">
        <v>4</v>
      </c>
      <c r="H1594" s="13">
        <v>4000</v>
      </c>
      <c r="I1594" s="14">
        <f t="shared" si="56"/>
        <v>-0.10495289999999988</v>
      </c>
      <c r="J1594" s="13">
        <f t="shared" si="57"/>
        <v>254372.17999999993</v>
      </c>
    </row>
    <row r="1595" spans="1:10" x14ac:dyDescent="0.25">
      <c r="A1595" s="10">
        <v>42301</v>
      </c>
      <c r="B1595" s="11" t="s">
        <v>8</v>
      </c>
      <c r="C1595" s="11" t="s">
        <v>5</v>
      </c>
      <c r="D1595" s="16" t="str">
        <f>HYPERLINK("https://freddywills.com/pick/401/texas-a-amp-m-5-5.html", "Texas A&amp;amp;M +5.5")</f>
        <v>Texas A&amp;amp;M +5.5</v>
      </c>
      <c r="E1595" s="11">
        <v>3.3</v>
      </c>
      <c r="F1595" s="11">
        <v>-1.1000000000000001</v>
      </c>
      <c r="G1595" s="11" t="s">
        <v>6</v>
      </c>
      <c r="H1595" s="13">
        <v>-3300</v>
      </c>
      <c r="I1595" s="14">
        <f t="shared" si="56"/>
        <v>-0.14495289999999988</v>
      </c>
      <c r="J1595" s="13">
        <f t="shared" si="57"/>
        <v>250372.17999999993</v>
      </c>
    </row>
    <row r="1596" spans="1:10" x14ac:dyDescent="0.25">
      <c r="A1596" s="10">
        <v>42301</v>
      </c>
      <c r="B1596" s="11" t="s">
        <v>8</v>
      </c>
      <c r="C1596" s="11" t="s">
        <v>5</v>
      </c>
      <c r="D1596" s="16" t="str">
        <f>HYPERLINK("https://freddywills.com/pick/402/mtsu-7-5.html", "MTSU +7.5")</f>
        <v>MTSU +7.5</v>
      </c>
      <c r="E1596" s="11">
        <v>2.2000000000000002</v>
      </c>
      <c r="F1596" s="11">
        <v>-1.1000000000000001</v>
      </c>
      <c r="G1596" s="11" t="s">
        <v>6</v>
      </c>
      <c r="H1596" s="13">
        <v>-2200</v>
      </c>
      <c r="I1596" s="14">
        <f t="shared" si="56"/>
        <v>-0.11195289999999988</v>
      </c>
      <c r="J1596" s="13">
        <f t="shared" si="57"/>
        <v>253672.17999999993</v>
      </c>
    </row>
    <row r="1597" spans="1:10" x14ac:dyDescent="0.25">
      <c r="A1597" s="10">
        <v>42301</v>
      </c>
      <c r="B1597" s="11" t="s">
        <v>8</v>
      </c>
      <c r="C1597" s="11" t="s">
        <v>5</v>
      </c>
      <c r="D1597" s="16" t="str">
        <f>HYPERLINK("https://freddywills.com/pick/403/usc-3.html", "USC -3")</f>
        <v>USC -3</v>
      </c>
      <c r="E1597" s="11">
        <v>2.2000000000000002</v>
      </c>
      <c r="F1597" s="11">
        <v>-1.1000000000000001</v>
      </c>
      <c r="G1597" s="11" t="s">
        <v>4</v>
      </c>
      <c r="H1597" s="13">
        <v>2000</v>
      </c>
      <c r="I1597" s="14">
        <f t="shared" si="56"/>
        <v>-8.9952899999999891E-2</v>
      </c>
      <c r="J1597" s="13">
        <f t="shared" si="57"/>
        <v>255872.17999999993</v>
      </c>
    </row>
    <row r="1598" spans="1:10" x14ac:dyDescent="0.25">
      <c r="A1598" s="10">
        <v>42301</v>
      </c>
      <c r="B1598" s="11" t="s">
        <v>8</v>
      </c>
      <c r="C1598" s="11" t="s">
        <v>5</v>
      </c>
      <c r="D1598" s="16" t="str">
        <f>HYPERLINK("https://freddywills.com/pick/404/ball-state-7-5.html", "Ball State +7.5")</f>
        <v>Ball State +7.5</v>
      </c>
      <c r="E1598" s="11">
        <v>5.5</v>
      </c>
      <c r="F1598" s="11">
        <v>-1.1000000000000001</v>
      </c>
      <c r="G1598" s="11" t="s">
        <v>4</v>
      </c>
      <c r="H1598" s="13">
        <v>5000</v>
      </c>
      <c r="I1598" s="14">
        <f t="shared" si="56"/>
        <v>-0.1099528999999999</v>
      </c>
      <c r="J1598" s="13">
        <f t="shared" si="57"/>
        <v>253872.17999999993</v>
      </c>
    </row>
    <row r="1599" spans="1:10" x14ac:dyDescent="0.25">
      <c r="A1599" s="10">
        <v>42301</v>
      </c>
      <c r="B1599" s="11" t="s">
        <v>8</v>
      </c>
      <c r="C1599" s="11" t="s">
        <v>10</v>
      </c>
      <c r="D1599" s="16" t="str">
        <f>HYPERLINK("https://freddywills.com/pick/405/clemson-1-5-penn-state.html", "Clemson -1.5 / Penn State")</f>
        <v>Clemson -1.5 / Penn State</v>
      </c>
      <c r="E1599" s="11">
        <v>4.4000000000000004</v>
      </c>
      <c r="F1599" s="11">
        <v>-1.1000000000000001</v>
      </c>
      <c r="G1599" s="11" t="s">
        <v>4</v>
      </c>
      <c r="H1599" s="13">
        <v>4000</v>
      </c>
      <c r="I1599" s="14">
        <f t="shared" si="56"/>
        <v>-0.1599528999999999</v>
      </c>
      <c r="J1599" s="13">
        <f t="shared" si="57"/>
        <v>248872.17999999993</v>
      </c>
    </row>
    <row r="1600" spans="1:10" x14ac:dyDescent="0.25">
      <c r="A1600" s="10">
        <v>42301</v>
      </c>
      <c r="B1600" s="11" t="s">
        <v>2</v>
      </c>
      <c r="C1600" s="11" t="s">
        <v>5</v>
      </c>
      <c r="D1600" s="16" t="str">
        <f>HYPERLINK("https://freddywills.com/pick/406/eagles-3.html", "Eagles +3")</f>
        <v>Eagles +3</v>
      </c>
      <c r="E1600" s="11">
        <v>3.3</v>
      </c>
      <c r="F1600" s="11">
        <v>-1.1000000000000001</v>
      </c>
      <c r="G1600" s="11" t="s">
        <v>6</v>
      </c>
      <c r="H1600" s="13">
        <v>-3300</v>
      </c>
      <c r="I1600" s="14">
        <f t="shared" si="56"/>
        <v>-0.19995289999999991</v>
      </c>
      <c r="J1600" s="13">
        <f t="shared" si="57"/>
        <v>244872.17999999993</v>
      </c>
    </row>
    <row r="1601" spans="1:10" x14ac:dyDescent="0.25">
      <c r="A1601" s="10">
        <v>42300</v>
      </c>
      <c r="B1601" s="11" t="s">
        <v>8</v>
      </c>
      <c r="C1601" s="11" t="s">
        <v>5</v>
      </c>
      <c r="D1601" s="16" t="str">
        <f>HYPERLINK("https://freddywills.com/pick/407/sd-state-5-5-5-pod.html", "SD State +5 5.5* pod")</f>
        <v>SD State +5 5.5* pod</v>
      </c>
      <c r="E1601" s="11">
        <v>5.5</v>
      </c>
      <c r="F1601" s="11">
        <v>-1.1000000000000001</v>
      </c>
      <c r="G1601" s="11" t="s">
        <v>4</v>
      </c>
      <c r="H1601" s="13">
        <v>5000</v>
      </c>
      <c r="I1601" s="14">
        <f t="shared" si="56"/>
        <v>-0.1669528999999999</v>
      </c>
      <c r="J1601" s="13">
        <f t="shared" si="57"/>
        <v>248172.17999999993</v>
      </c>
    </row>
    <row r="1602" spans="1:10" x14ac:dyDescent="0.25">
      <c r="A1602" s="10">
        <v>42300</v>
      </c>
      <c r="B1602" s="11" t="s">
        <v>8</v>
      </c>
      <c r="C1602" s="11" t="s">
        <v>7</v>
      </c>
      <c r="D1602" s="16" t="str">
        <f>HYPERLINK("https://freddywills.com/pick/408/auburn-arkansas-u51.html", "Auburn /Arkansas U51")</f>
        <v>Auburn /Arkansas U51</v>
      </c>
      <c r="E1602" s="11">
        <v>3.3</v>
      </c>
      <c r="F1602" s="11">
        <v>-1.1000000000000001</v>
      </c>
      <c r="G1602" s="11" t="s">
        <v>6</v>
      </c>
      <c r="H1602" s="13">
        <v>-3300</v>
      </c>
      <c r="I1602" s="14">
        <f t="shared" si="56"/>
        <v>-0.21695289999999989</v>
      </c>
      <c r="J1602" s="13">
        <f t="shared" si="57"/>
        <v>243172.17999999993</v>
      </c>
    </row>
    <row r="1603" spans="1:10" x14ac:dyDescent="0.25">
      <c r="A1603" s="10">
        <v>42300</v>
      </c>
      <c r="B1603" s="11" t="s">
        <v>8</v>
      </c>
      <c r="C1603" s="11" t="s">
        <v>5</v>
      </c>
      <c r="D1603" s="16" t="str">
        <f>HYPERLINK("https://freddywills.com/pick/409/tulsa-10-5.html", "Tulsa +10.5")</f>
        <v>Tulsa +10.5</v>
      </c>
      <c r="E1603" s="11">
        <v>3.3</v>
      </c>
      <c r="F1603" s="11">
        <v>-1.1000000000000001</v>
      </c>
      <c r="G1603" s="11" t="s">
        <v>6</v>
      </c>
      <c r="H1603" s="13">
        <v>-3300</v>
      </c>
      <c r="I1603" s="14">
        <f t="shared" si="56"/>
        <v>-0.18395289999999989</v>
      </c>
      <c r="J1603" s="13">
        <f t="shared" si="57"/>
        <v>246472.17999999993</v>
      </c>
    </row>
    <row r="1604" spans="1:10" x14ac:dyDescent="0.25">
      <c r="A1604" s="10">
        <v>42297</v>
      </c>
      <c r="B1604" s="11" t="s">
        <v>8</v>
      </c>
      <c r="C1604" s="11" t="s">
        <v>5</v>
      </c>
      <c r="D1604" s="16" t="str">
        <f>HYPERLINK("https://freddywills.com/pick/410/lafayette-8-5.html", "Lafayette +8.5")</f>
        <v>Lafayette +8.5</v>
      </c>
      <c r="E1604" s="11">
        <v>3.3</v>
      </c>
      <c r="F1604" s="11">
        <v>-1.1000000000000001</v>
      </c>
      <c r="G1604" s="11" t="s">
        <v>6</v>
      </c>
      <c r="H1604" s="13">
        <v>-3300</v>
      </c>
      <c r="I1604" s="14">
        <f t="shared" si="56"/>
        <v>-0.15095289999999989</v>
      </c>
      <c r="J1604" s="13">
        <f t="shared" si="57"/>
        <v>249772.17999999993</v>
      </c>
    </row>
    <row r="1605" spans="1:10" x14ac:dyDescent="0.25">
      <c r="A1605" s="10">
        <v>42295</v>
      </c>
      <c r="B1605" s="11" t="s">
        <v>2</v>
      </c>
      <c r="C1605" s="11" t="s">
        <v>5</v>
      </c>
      <c r="D1605" s="16" t="str">
        <f>HYPERLINK("https://freddywills.com/pick/411/colts-10-5.html", "Colts +10.5")</f>
        <v>Colts +10.5</v>
      </c>
      <c r="E1605" s="11">
        <v>5.5</v>
      </c>
      <c r="F1605" s="11">
        <v>-1.1000000000000001</v>
      </c>
      <c r="G1605" s="11" t="s">
        <v>4</v>
      </c>
      <c r="H1605" s="13">
        <v>5000</v>
      </c>
      <c r="I1605" s="14">
        <f t="shared" si="56"/>
        <v>-0.1179528999999999</v>
      </c>
      <c r="J1605" s="13">
        <f t="shared" si="57"/>
        <v>253072.17999999993</v>
      </c>
    </row>
    <row r="1606" spans="1:10" x14ac:dyDescent="0.25">
      <c r="A1606" s="10">
        <v>42295</v>
      </c>
      <c r="B1606" s="11" t="s">
        <v>2</v>
      </c>
      <c r="C1606" s="11" t="s">
        <v>10</v>
      </c>
      <c r="D1606" s="16" t="str">
        <f>HYPERLINK("https://freddywills.com/pick/412/jets-1-5-seahawks-1.html", "Jets -1.5 / Seahawks -1")</f>
        <v>Jets -1.5 / Seahawks -1</v>
      </c>
      <c r="E1606" s="11">
        <v>5.5</v>
      </c>
      <c r="F1606" s="11">
        <v>-1.1000000000000001</v>
      </c>
      <c r="G1606" s="11" t="s">
        <v>6</v>
      </c>
      <c r="H1606" s="13">
        <v>-5500</v>
      </c>
      <c r="I1606" s="14">
        <f t="shared" si="56"/>
        <v>-0.16795289999999991</v>
      </c>
      <c r="J1606" s="13">
        <f t="shared" si="57"/>
        <v>248072.17999999993</v>
      </c>
    </row>
    <row r="1607" spans="1:10" x14ac:dyDescent="0.25">
      <c r="A1607" s="10">
        <v>42295</v>
      </c>
      <c r="B1607" s="11" t="s">
        <v>2</v>
      </c>
      <c r="C1607" s="11" t="s">
        <v>18</v>
      </c>
      <c r="D1607" s="16" t="str">
        <f>HYPERLINK("https://freddywills.com/pick/413/dolphins-125.html", "Dolphins +125")</f>
        <v>Dolphins +125</v>
      </c>
      <c r="E1607" s="11">
        <v>4</v>
      </c>
      <c r="F1607" s="11">
        <v>1.25</v>
      </c>
      <c r="G1607" s="11" t="s">
        <v>4</v>
      </c>
      <c r="H1607" s="13">
        <v>5000</v>
      </c>
      <c r="I1607" s="14">
        <f t="shared" si="56"/>
        <v>-0.1129528999999999</v>
      </c>
      <c r="J1607" s="13">
        <f t="shared" si="57"/>
        <v>253572.17999999993</v>
      </c>
    </row>
    <row r="1608" spans="1:10" x14ac:dyDescent="0.25">
      <c r="A1608" s="10">
        <v>42295</v>
      </c>
      <c r="B1608" s="11" t="s">
        <v>2</v>
      </c>
      <c r="C1608" s="11" t="s">
        <v>18</v>
      </c>
      <c r="D1608" s="16" t="str">
        <f>HYPERLINK("https://freddywills.com/pick/414/bills-145.html", "Bills +145")</f>
        <v>Bills +145</v>
      </c>
      <c r="E1608" s="11">
        <v>2.5</v>
      </c>
      <c r="F1608" s="11">
        <v>1.45</v>
      </c>
      <c r="G1608" s="11" t="s">
        <v>6</v>
      </c>
      <c r="H1608" s="13">
        <v>-2500</v>
      </c>
      <c r="I1608" s="14">
        <f t="shared" si="56"/>
        <v>-0.1629528999999999</v>
      </c>
      <c r="J1608" s="13">
        <f t="shared" si="57"/>
        <v>248572.17999999993</v>
      </c>
    </row>
    <row r="1609" spans="1:10" x14ac:dyDescent="0.25">
      <c r="A1609" s="10">
        <v>42294</v>
      </c>
      <c r="B1609" s="11" t="s">
        <v>8</v>
      </c>
      <c r="C1609" s="11" t="s">
        <v>7</v>
      </c>
      <c r="D1609" s="16" t="str">
        <f>HYPERLINK("https://freddywills.com/pick/415/louisville-fsu-under-46.html", "Louisville / FSU Under 46")</f>
        <v>Louisville / FSU Under 46</v>
      </c>
      <c r="E1609" s="11">
        <v>4.4000000000000004</v>
      </c>
      <c r="F1609" s="11">
        <v>-1.1000000000000001</v>
      </c>
      <c r="G1609" s="11" t="s">
        <v>6</v>
      </c>
      <c r="H1609" s="13">
        <v>-4400</v>
      </c>
      <c r="I1609" s="14">
        <f t="shared" si="56"/>
        <v>-0.13795289999999991</v>
      </c>
      <c r="J1609" s="13">
        <f t="shared" si="57"/>
        <v>251072.17999999993</v>
      </c>
    </row>
    <row r="1610" spans="1:10" x14ac:dyDescent="0.25">
      <c r="A1610" s="10">
        <v>42294</v>
      </c>
      <c r="B1610" s="11" t="s">
        <v>8</v>
      </c>
      <c r="C1610" s="11" t="s">
        <v>5</v>
      </c>
      <c r="D1610" s="16" t="str">
        <f>HYPERLINK("https://freddywills.com/pick/416/texas-tech-31.html", "Texas Tech -31")</f>
        <v>Texas Tech -31</v>
      </c>
      <c r="E1610" s="11">
        <v>1.1000000000000001</v>
      </c>
      <c r="F1610" s="11">
        <v>-1.1000000000000001</v>
      </c>
      <c r="G1610" s="11" t="s">
        <v>6</v>
      </c>
      <c r="H1610" s="13">
        <v>-1100</v>
      </c>
      <c r="I1610" s="14">
        <f t="shared" si="56"/>
        <v>-9.3952899999999909E-2</v>
      </c>
      <c r="J1610" s="13">
        <f t="shared" si="57"/>
        <v>255472.17999999993</v>
      </c>
    </row>
    <row r="1611" spans="1:10" x14ac:dyDescent="0.25">
      <c r="A1611" s="10">
        <v>42294</v>
      </c>
      <c r="B1611" s="11" t="s">
        <v>8</v>
      </c>
      <c r="C1611" s="11" t="s">
        <v>5</v>
      </c>
      <c r="D1611" s="16" t="str">
        <f>HYPERLINK("https://freddywills.com/pick/417/connecticut-2-5.html", "Connecticut -2.5")</f>
        <v>Connecticut -2.5</v>
      </c>
      <c r="E1611" s="11">
        <v>2.2000000000000002</v>
      </c>
      <c r="F1611" s="11">
        <v>-1.1000000000000001</v>
      </c>
      <c r="G1611" s="11" t="s">
        <v>6</v>
      </c>
      <c r="H1611" s="13">
        <v>-2200</v>
      </c>
      <c r="I1611" s="14">
        <f t="shared" si="56"/>
        <v>-8.2952899999999913E-2</v>
      </c>
      <c r="J1611" s="13">
        <f t="shared" si="57"/>
        <v>256572.17999999993</v>
      </c>
    </row>
    <row r="1612" spans="1:10" x14ac:dyDescent="0.25">
      <c r="A1612" s="10">
        <v>42294</v>
      </c>
      <c r="B1612" s="11" t="s">
        <v>8</v>
      </c>
      <c r="C1612" s="11" t="s">
        <v>5</v>
      </c>
      <c r="D1612" s="16" t="str">
        <f>HYPERLINK("https://freddywills.com/pick/418/texas-a-amp-m-4.html", "Texas A&amp;amp;M +4")</f>
        <v>Texas A&amp;amp;M +4</v>
      </c>
      <c r="E1612" s="11">
        <v>3.3</v>
      </c>
      <c r="F1612" s="11">
        <v>-1.1000000000000001</v>
      </c>
      <c r="G1612" s="11" t="s">
        <v>6</v>
      </c>
      <c r="H1612" s="13">
        <v>-3300</v>
      </c>
      <c r="I1612" s="14">
        <f t="shared" si="56"/>
        <v>-6.0952899999999914E-2</v>
      </c>
      <c r="J1612" s="13">
        <f t="shared" si="57"/>
        <v>258772.17999999993</v>
      </c>
    </row>
    <row r="1613" spans="1:10" x14ac:dyDescent="0.25">
      <c r="A1613" s="10">
        <v>42294</v>
      </c>
      <c r="B1613" s="11" t="s">
        <v>8</v>
      </c>
      <c r="C1613" s="11" t="s">
        <v>5</v>
      </c>
      <c r="D1613" s="16" t="str">
        <f>HYPERLINK("https://freddywills.com/pick/419/usc-7-115.html", "USC +7 -115")</f>
        <v>USC +7 -115</v>
      </c>
      <c r="E1613" s="11">
        <v>5.5</v>
      </c>
      <c r="F1613" s="11">
        <v>-1.1499999999999999</v>
      </c>
      <c r="G1613" s="11" t="s">
        <v>6</v>
      </c>
      <c r="H1613" s="13">
        <v>-5500</v>
      </c>
      <c r="I1613" s="14">
        <f t="shared" si="56"/>
        <v>-2.7952899999999913E-2</v>
      </c>
      <c r="J1613" s="13">
        <f t="shared" si="57"/>
        <v>262072.17999999993</v>
      </c>
    </row>
    <row r="1614" spans="1:10" x14ac:dyDescent="0.25">
      <c r="A1614" s="10">
        <v>42294</v>
      </c>
      <c r="B1614" s="11" t="s">
        <v>8</v>
      </c>
      <c r="C1614" s="11" t="s">
        <v>5</v>
      </c>
      <c r="D1614" s="16" t="str">
        <f>HYPERLINK("https://freddywills.com/pick/420/florida-7-5.html", "Florida +7.5")</f>
        <v>Florida +7.5</v>
      </c>
      <c r="E1614" s="11">
        <v>3.3</v>
      </c>
      <c r="F1614" s="11">
        <v>-1.1000000000000001</v>
      </c>
      <c r="G1614" s="11" t="s">
        <v>4</v>
      </c>
      <c r="H1614" s="13">
        <v>3000</v>
      </c>
      <c r="I1614" s="14">
        <f t="shared" si="56"/>
        <v>2.7047100000000088E-2</v>
      </c>
      <c r="J1614" s="13">
        <f t="shared" si="57"/>
        <v>267572.17999999993</v>
      </c>
    </row>
    <row r="1615" spans="1:10" x14ac:dyDescent="0.25">
      <c r="A1615" s="10">
        <v>42293</v>
      </c>
      <c r="B1615" s="11" t="s">
        <v>8</v>
      </c>
      <c r="C1615" s="11" t="s">
        <v>7</v>
      </c>
      <c r="D1615" s="16" t="str">
        <f>HYPERLINK("https://freddywills.com/pick/421/boise-utah-st-u51.html", "Boise / Utah St U51")</f>
        <v>Boise / Utah St U51</v>
      </c>
      <c r="E1615" s="11">
        <v>4.4000000000000004</v>
      </c>
      <c r="F1615" s="11">
        <v>-1.1000000000000001</v>
      </c>
      <c r="G1615" s="11" t="s">
        <v>6</v>
      </c>
      <c r="H1615" s="13">
        <v>-4400</v>
      </c>
      <c r="I1615" s="14">
        <f t="shared" si="56"/>
        <v>-2.9528999999999112E-3</v>
      </c>
      <c r="J1615" s="13">
        <f t="shared" si="57"/>
        <v>264572.17999999993</v>
      </c>
    </row>
    <row r="1616" spans="1:10" x14ac:dyDescent="0.25">
      <c r="A1616" s="10">
        <v>42292</v>
      </c>
      <c r="B1616" s="11" t="s">
        <v>8</v>
      </c>
      <c r="C1616" s="11" t="s">
        <v>5</v>
      </c>
      <c r="D1616" s="16" t="str">
        <f>HYPERLINK("https://freddywills.com/pick/422/kentucky-2-5.html", "Kentucky +2.5")</f>
        <v>Kentucky +2.5</v>
      </c>
      <c r="E1616" s="11">
        <v>3.3</v>
      </c>
      <c r="F1616" s="11">
        <v>-1.1000000000000001</v>
      </c>
      <c r="G1616" s="11" t="s">
        <v>6</v>
      </c>
      <c r="H1616" s="13">
        <v>-3300</v>
      </c>
      <c r="I1616" s="14">
        <f t="shared" si="56"/>
        <v>4.1047100000000086E-2</v>
      </c>
      <c r="J1616" s="13">
        <f t="shared" si="57"/>
        <v>268972.17999999993</v>
      </c>
    </row>
    <row r="1617" spans="1:10" x14ac:dyDescent="0.25">
      <c r="A1617" s="10">
        <v>42292</v>
      </c>
      <c r="B1617" s="11" t="s">
        <v>8</v>
      </c>
      <c r="C1617" s="11" t="s">
        <v>5</v>
      </c>
      <c r="D1617" s="16" t="str">
        <f>HYPERLINK("https://freddywills.com/pick/423/ucla-7.html", "UCLA +7")</f>
        <v>UCLA +7</v>
      </c>
      <c r="E1617" s="11">
        <v>5.5</v>
      </c>
      <c r="F1617" s="11">
        <v>-1.1000000000000001</v>
      </c>
      <c r="G1617" s="11" t="s">
        <v>6</v>
      </c>
      <c r="H1617" s="13">
        <v>-5500</v>
      </c>
      <c r="I1617" s="14">
        <f t="shared" si="56"/>
        <v>7.4047100000000088E-2</v>
      </c>
      <c r="J1617" s="13">
        <f t="shared" si="57"/>
        <v>272272.17999999993</v>
      </c>
    </row>
    <row r="1618" spans="1:10" x14ac:dyDescent="0.25">
      <c r="A1618" s="10">
        <v>42292</v>
      </c>
      <c r="B1618" s="11" t="s">
        <v>2</v>
      </c>
      <c r="C1618" s="11" t="s">
        <v>18</v>
      </c>
      <c r="D1618" s="16" t="str">
        <f>HYPERLINK("https://freddywills.com/pick/424/saints-4-105.html", "Saints +4 -105")</f>
        <v>Saints +4 -105</v>
      </c>
      <c r="E1618" s="11">
        <v>3.5</v>
      </c>
      <c r="F1618" s="11">
        <v>-1.05</v>
      </c>
      <c r="G1618" s="11" t="s">
        <v>4</v>
      </c>
      <c r="H1618" s="13">
        <v>3333.33</v>
      </c>
      <c r="I1618" s="14">
        <f t="shared" si="56"/>
        <v>0.12904710000000008</v>
      </c>
      <c r="J1618" s="13">
        <f t="shared" si="57"/>
        <v>277772.17999999993</v>
      </c>
    </row>
    <row r="1619" spans="1:10" x14ac:dyDescent="0.25">
      <c r="A1619" s="10">
        <v>42292</v>
      </c>
      <c r="B1619" s="11" t="s">
        <v>8</v>
      </c>
      <c r="C1619" s="11" t="s">
        <v>18</v>
      </c>
      <c r="D1619" s="16" t="str">
        <f>HYPERLINK("https://freddywills.com/pick/425/ucla-215.html", "UCLA +215")</f>
        <v>UCLA +215</v>
      </c>
      <c r="E1619" s="11">
        <v>1</v>
      </c>
      <c r="F1619" s="11">
        <v>2.15</v>
      </c>
      <c r="G1619" s="11" t="s">
        <v>6</v>
      </c>
      <c r="H1619" s="13">
        <v>-1000</v>
      </c>
      <c r="I1619" s="14">
        <f t="shared" si="56"/>
        <v>9.5713800000000071E-2</v>
      </c>
      <c r="J1619" s="13">
        <f t="shared" si="57"/>
        <v>274438.84999999992</v>
      </c>
    </row>
    <row r="1620" spans="1:10" x14ac:dyDescent="0.25">
      <c r="A1620" s="10">
        <v>42291</v>
      </c>
      <c r="B1620" s="11" t="s">
        <v>8</v>
      </c>
      <c r="C1620" s="11" t="s">
        <v>5</v>
      </c>
      <c r="D1620" s="16" t="str">
        <f>HYPERLINK("https://freddywills.com/pick/427/wkty-32-5.html", "WKTY -32.5")</f>
        <v>WKTY -32.5</v>
      </c>
      <c r="E1620" s="11">
        <v>1.1000000000000001</v>
      </c>
      <c r="F1620" s="11">
        <v>-1.1000000000000001</v>
      </c>
      <c r="G1620" s="11" t="s">
        <v>6</v>
      </c>
      <c r="H1620" s="13">
        <v>-1100</v>
      </c>
      <c r="I1620" s="14">
        <f t="shared" si="56"/>
        <v>0.10571380000000007</v>
      </c>
      <c r="J1620" s="13">
        <f t="shared" si="57"/>
        <v>275438.84999999992</v>
      </c>
    </row>
    <row r="1621" spans="1:10" x14ac:dyDescent="0.25">
      <c r="A1621" s="10">
        <v>42290</v>
      </c>
      <c r="B1621" s="11" t="s">
        <v>8</v>
      </c>
      <c r="C1621" s="11" t="s">
        <v>5</v>
      </c>
      <c r="D1621" s="16" t="str">
        <f>HYPERLINK("https://freddywills.com/pick/428/arkansas-state-4-5.html", "Arkansas State -4.5")</f>
        <v>Arkansas State -4.5</v>
      </c>
      <c r="E1621" s="11">
        <v>3.3</v>
      </c>
      <c r="F1621" s="11">
        <v>-1.1000000000000001</v>
      </c>
      <c r="G1621" s="11" t="s">
        <v>4</v>
      </c>
      <c r="H1621" s="13">
        <v>3000</v>
      </c>
      <c r="I1621" s="14">
        <f t="shared" si="56"/>
        <v>0.11671380000000006</v>
      </c>
      <c r="J1621" s="13">
        <f t="shared" si="57"/>
        <v>276538.84999999992</v>
      </c>
    </row>
    <row r="1622" spans="1:10" x14ac:dyDescent="0.25">
      <c r="A1622" s="10">
        <v>42288</v>
      </c>
      <c r="B1622" s="11" t="s">
        <v>2</v>
      </c>
      <c r="C1622" s="11" t="s">
        <v>5</v>
      </c>
      <c r="D1622" s="16" t="str">
        <f>HYPERLINK("https://freddywills.com/pick/429/oakland-raiders-4.html", "Oakland Raiders +4")</f>
        <v>Oakland Raiders +4</v>
      </c>
      <c r="E1622" s="11">
        <v>5.5</v>
      </c>
      <c r="F1622" s="11">
        <v>-1.1000000000000001</v>
      </c>
      <c r="G1622" s="11" t="s">
        <v>6</v>
      </c>
      <c r="H1622" s="13">
        <v>-5500</v>
      </c>
      <c r="I1622" s="14">
        <f t="shared" si="56"/>
        <v>8.6713800000000063E-2</v>
      </c>
      <c r="J1622" s="13">
        <f t="shared" si="57"/>
        <v>273538.84999999992</v>
      </c>
    </row>
    <row r="1623" spans="1:10" x14ac:dyDescent="0.25">
      <c r="A1623" s="10">
        <v>42288</v>
      </c>
      <c r="B1623" s="11" t="s">
        <v>2</v>
      </c>
      <c r="C1623" s="11" t="s">
        <v>10</v>
      </c>
      <c r="D1623" s="16" t="str">
        <f>HYPERLINK("https://freddywills.com/pick/430/chiefs-3-bills-5.html", "Chiefs -3/Bills +5")</f>
        <v>Chiefs -3/Bills +5</v>
      </c>
      <c r="E1623" s="11">
        <v>4.4000000000000004</v>
      </c>
      <c r="F1623" s="11">
        <v>-1.1000000000000001</v>
      </c>
      <c r="G1623" s="11" t="s">
        <v>6</v>
      </c>
      <c r="H1623" s="13">
        <v>-4400</v>
      </c>
      <c r="I1623" s="14">
        <f t="shared" si="56"/>
        <v>0.14171380000000006</v>
      </c>
      <c r="J1623" s="13">
        <f t="shared" si="57"/>
        <v>279038.84999999992</v>
      </c>
    </row>
    <row r="1624" spans="1:10" x14ac:dyDescent="0.25">
      <c r="A1624" s="10">
        <v>42288</v>
      </c>
      <c r="B1624" s="11" t="s">
        <v>2</v>
      </c>
      <c r="C1624" s="11" t="s">
        <v>5</v>
      </c>
      <c r="D1624" s="16" t="str">
        <f>HYPERLINK("https://freddywills.com/pick/431/redskins-7-5.html", "Redskins +7.5")</f>
        <v>Redskins +7.5</v>
      </c>
      <c r="E1624" s="11">
        <v>3.3</v>
      </c>
      <c r="F1624" s="11">
        <v>-1.1000000000000001</v>
      </c>
      <c r="G1624" s="11" t="s">
        <v>4</v>
      </c>
      <c r="H1624" s="13">
        <v>3000</v>
      </c>
      <c r="I1624" s="14">
        <f t="shared" si="56"/>
        <v>0.18571380000000004</v>
      </c>
      <c r="J1624" s="13">
        <f t="shared" si="57"/>
        <v>283438.84999999992</v>
      </c>
    </row>
    <row r="1625" spans="1:10" x14ac:dyDescent="0.25">
      <c r="A1625" s="10">
        <v>42288</v>
      </c>
      <c r="B1625" s="11" t="s">
        <v>2</v>
      </c>
      <c r="C1625" s="11" t="s">
        <v>5</v>
      </c>
      <c r="D1625" s="16" t="str">
        <f>HYPERLINK("https://freddywills.com/pick/432/saints-6-5.html", "Saints +6.5")</f>
        <v>Saints +6.5</v>
      </c>
      <c r="E1625" s="11">
        <v>2.2000000000000002</v>
      </c>
      <c r="F1625" s="11">
        <v>-1.1000000000000001</v>
      </c>
      <c r="G1625" s="11" t="s">
        <v>6</v>
      </c>
      <c r="H1625" s="13">
        <v>-2200</v>
      </c>
      <c r="I1625" s="14">
        <f t="shared" si="56"/>
        <v>0.15571380000000004</v>
      </c>
      <c r="J1625" s="13">
        <f t="shared" si="57"/>
        <v>280438.84999999992</v>
      </c>
    </row>
    <row r="1626" spans="1:10" x14ac:dyDescent="0.25">
      <c r="A1626" s="10">
        <v>42287</v>
      </c>
      <c r="B1626" s="11" t="s">
        <v>8</v>
      </c>
      <c r="C1626" s="11" t="s">
        <v>18</v>
      </c>
      <c r="D1626" s="16" t="str">
        <f>HYPERLINK("https://freddywills.com/pick/433/syracuse-115.html", "Syracuse +115")</f>
        <v>Syracuse +115</v>
      </c>
      <c r="E1626" s="11">
        <v>1</v>
      </c>
      <c r="F1626" s="11">
        <v>1.1499999999999999</v>
      </c>
      <c r="G1626" s="11" t="s">
        <v>6</v>
      </c>
      <c r="H1626" s="13">
        <v>-1000</v>
      </c>
      <c r="I1626" s="14">
        <f t="shared" si="56"/>
        <v>0.17771380000000003</v>
      </c>
      <c r="J1626" s="13">
        <f t="shared" si="57"/>
        <v>282638.84999999992</v>
      </c>
    </row>
    <row r="1627" spans="1:10" x14ac:dyDescent="0.25">
      <c r="A1627" s="10">
        <v>42287</v>
      </c>
      <c r="B1627" s="11" t="s">
        <v>8</v>
      </c>
      <c r="C1627" s="11" t="s">
        <v>5</v>
      </c>
      <c r="D1627" s="16" t="str">
        <f>HYPERLINK("https://freddywills.com/pick/434/eastern-mich-7-5-106.html", "Eastern Mich +7.5 -106")</f>
        <v>Eastern Mich +7.5 -106</v>
      </c>
      <c r="E1627" s="11">
        <v>5.5</v>
      </c>
      <c r="F1627" s="11">
        <v>-1.06</v>
      </c>
      <c r="G1627" s="11" t="s">
        <v>6</v>
      </c>
      <c r="H1627" s="13">
        <v>-5500</v>
      </c>
      <c r="I1627" s="14">
        <f t="shared" si="56"/>
        <v>0.18771380000000004</v>
      </c>
      <c r="J1627" s="13">
        <f t="shared" si="57"/>
        <v>283638.84999999992</v>
      </c>
    </row>
    <row r="1628" spans="1:10" x14ac:dyDescent="0.25">
      <c r="A1628" s="10">
        <v>42287</v>
      </c>
      <c r="B1628" s="11" t="s">
        <v>8</v>
      </c>
      <c r="C1628" s="11" t="s">
        <v>5</v>
      </c>
      <c r="D1628" s="16" t="str">
        <f>HYPERLINK("https://freddywills.com/pick/435/cmu-7.html", "CMU +7")</f>
        <v>CMU +7</v>
      </c>
      <c r="E1628" s="11">
        <v>2.2000000000000002</v>
      </c>
      <c r="F1628" s="11">
        <v>-1.1000000000000001</v>
      </c>
      <c r="G1628" s="11" t="s">
        <v>4</v>
      </c>
      <c r="H1628" s="13">
        <v>2000</v>
      </c>
      <c r="I1628" s="14">
        <f t="shared" si="56"/>
        <v>0.24271380000000004</v>
      </c>
      <c r="J1628" s="13">
        <f t="shared" si="57"/>
        <v>289138.84999999992</v>
      </c>
    </row>
    <row r="1629" spans="1:10" x14ac:dyDescent="0.25">
      <c r="A1629" s="10">
        <v>42287</v>
      </c>
      <c r="B1629" s="11" t="s">
        <v>8</v>
      </c>
      <c r="C1629" s="11" t="s">
        <v>18</v>
      </c>
      <c r="D1629" s="16" t="str">
        <f>HYPERLINK("https://freddywills.com/pick/436/wisconsin-105.html", "Wisconsin +105")</f>
        <v>Wisconsin +105</v>
      </c>
      <c r="E1629" s="11">
        <v>3</v>
      </c>
      <c r="F1629" s="11">
        <v>1.05</v>
      </c>
      <c r="G1629" s="11" t="s">
        <v>4</v>
      </c>
      <c r="H1629" s="13">
        <v>3150</v>
      </c>
      <c r="I1629" s="14">
        <f t="shared" si="56"/>
        <v>0.22271380000000005</v>
      </c>
      <c r="J1629" s="13">
        <f t="shared" si="57"/>
        <v>287138.84999999992</v>
      </c>
    </row>
    <row r="1630" spans="1:10" x14ac:dyDescent="0.25">
      <c r="A1630" s="10">
        <v>42287</v>
      </c>
      <c r="B1630" s="11" t="s">
        <v>8</v>
      </c>
      <c r="C1630" s="11" t="s">
        <v>5</v>
      </c>
      <c r="D1630" s="16" t="str">
        <f>HYPERLINK("https://freddywills.com/pick/437/missouri-6-3-3.html", "Missouri +6 3.3*")</f>
        <v>Missouri +6 3.3*</v>
      </c>
      <c r="E1630" s="11">
        <v>3.3</v>
      </c>
      <c r="F1630" s="11">
        <v>-1.1000000000000001</v>
      </c>
      <c r="G1630" s="11" t="s">
        <v>6</v>
      </c>
      <c r="H1630" s="13">
        <v>-3300</v>
      </c>
      <c r="I1630" s="14">
        <f t="shared" si="56"/>
        <v>0.19121380000000004</v>
      </c>
      <c r="J1630" s="13">
        <f t="shared" si="57"/>
        <v>283988.84999999992</v>
      </c>
    </row>
    <row r="1631" spans="1:10" x14ac:dyDescent="0.25">
      <c r="A1631" s="10">
        <v>42287</v>
      </c>
      <c r="B1631" s="11" t="s">
        <v>8</v>
      </c>
      <c r="C1631" s="11" t="s">
        <v>10</v>
      </c>
      <c r="D1631" s="16" t="str">
        <f>HYPERLINK("https://freddywills.com/pick/438/florida-st-1-utah-1-5.html", "Florida St -1 /Utah -1.5")</f>
        <v>Florida St -1 /Utah -1.5</v>
      </c>
      <c r="E1631" s="11">
        <v>4.4000000000000004</v>
      </c>
      <c r="F1631" s="11">
        <v>-1.1000000000000001</v>
      </c>
      <c r="G1631" s="11" t="s">
        <v>4</v>
      </c>
      <c r="H1631" s="13">
        <v>4000</v>
      </c>
      <c r="I1631" s="14">
        <f t="shared" si="56"/>
        <v>0.22421380000000005</v>
      </c>
      <c r="J1631" s="13">
        <f t="shared" si="57"/>
        <v>287288.84999999992</v>
      </c>
    </row>
    <row r="1632" spans="1:10" x14ac:dyDescent="0.25">
      <c r="A1632" s="10">
        <v>42287</v>
      </c>
      <c r="B1632" s="11" t="s">
        <v>8</v>
      </c>
      <c r="C1632" s="11" t="s">
        <v>5</v>
      </c>
      <c r="D1632" s="16" t="str">
        <f>HYPERLINK("https://freddywills.com/pick/439/georgia-3-105.html", "Georgia -3 -105")</f>
        <v>Georgia -3 -105</v>
      </c>
      <c r="E1632" s="11">
        <v>4</v>
      </c>
      <c r="F1632" s="11">
        <v>-1.05</v>
      </c>
      <c r="G1632" s="11" t="s">
        <v>6</v>
      </c>
      <c r="H1632" s="13">
        <v>-4000</v>
      </c>
      <c r="I1632" s="14">
        <f t="shared" si="56"/>
        <v>0.18421380000000004</v>
      </c>
      <c r="J1632" s="13">
        <f t="shared" si="57"/>
        <v>283288.84999999992</v>
      </c>
    </row>
    <row r="1633" spans="1:10" x14ac:dyDescent="0.25">
      <c r="A1633" s="10">
        <v>42287</v>
      </c>
      <c r="B1633" s="11" t="s">
        <v>8</v>
      </c>
      <c r="C1633" s="11" t="s">
        <v>18</v>
      </c>
      <c r="D1633" s="16" t="str">
        <f>HYPERLINK("https://freddywills.com/pick/440/emu-250.html", "EMU +250")</f>
        <v>EMU +250</v>
      </c>
      <c r="E1633" s="11">
        <v>1</v>
      </c>
      <c r="F1633" s="11">
        <v>2.5</v>
      </c>
      <c r="G1633" s="11" t="s">
        <v>6</v>
      </c>
      <c r="H1633" s="13">
        <v>-1000</v>
      </c>
      <c r="I1633" s="14">
        <f t="shared" si="56"/>
        <v>0.22421380000000005</v>
      </c>
      <c r="J1633" s="13">
        <f t="shared" si="57"/>
        <v>287288.84999999992</v>
      </c>
    </row>
    <row r="1634" spans="1:10" x14ac:dyDescent="0.25">
      <c r="A1634" s="10">
        <v>42287</v>
      </c>
      <c r="B1634" s="11" t="s">
        <v>8</v>
      </c>
      <c r="C1634" s="11" t="s">
        <v>5</v>
      </c>
      <c r="D1634" s="16" t="str">
        <f>HYPERLINK("https://freddywills.com/pick/441/oregon-st-10-5.html", "Oregon St +10.5")</f>
        <v>Oregon St +10.5</v>
      </c>
      <c r="E1634" s="11">
        <v>2.2000000000000002</v>
      </c>
      <c r="F1634" s="11">
        <v>-1.1000000000000001</v>
      </c>
      <c r="G1634" s="11" t="s">
        <v>6</v>
      </c>
      <c r="H1634" s="13">
        <v>-2200</v>
      </c>
      <c r="I1634" s="14">
        <f t="shared" si="56"/>
        <v>0.23421380000000006</v>
      </c>
      <c r="J1634" s="13">
        <f t="shared" si="57"/>
        <v>288288.84999999992</v>
      </c>
    </row>
    <row r="1635" spans="1:10" x14ac:dyDescent="0.25">
      <c r="A1635" s="10">
        <v>42287</v>
      </c>
      <c r="B1635" s="11" t="s">
        <v>8</v>
      </c>
      <c r="C1635" s="11" t="s">
        <v>18</v>
      </c>
      <c r="D1635" s="16" t="str">
        <f>HYPERLINK("https://freddywills.com/pick/442/northwestern-7-5.html", "Northwestern +7.5")</f>
        <v>Northwestern +7.5</v>
      </c>
      <c r="E1635" s="11">
        <v>3.3</v>
      </c>
      <c r="F1635" s="11">
        <v>-1.1000000000000001</v>
      </c>
      <c r="G1635" s="11" t="s">
        <v>6</v>
      </c>
      <c r="H1635" s="13">
        <v>-3300</v>
      </c>
      <c r="I1635" s="14">
        <f t="shared" si="56"/>
        <v>0.25621380000000005</v>
      </c>
      <c r="J1635" s="13">
        <f t="shared" si="57"/>
        <v>290488.84999999992</v>
      </c>
    </row>
    <row r="1636" spans="1:10" x14ac:dyDescent="0.25">
      <c r="A1636" s="10">
        <v>42286</v>
      </c>
      <c r="B1636" s="11" t="s">
        <v>8</v>
      </c>
      <c r="C1636" s="11" t="s">
        <v>5</v>
      </c>
      <c r="D1636" s="16" t="str">
        <f>HYPERLINK("https://freddywills.com/pick/443/nc-state-2.html", "NC State +2")</f>
        <v>NC State +2</v>
      </c>
      <c r="E1636" s="11">
        <v>1.1000000000000001</v>
      </c>
      <c r="F1636" s="11">
        <v>-1.1000000000000001</v>
      </c>
      <c r="G1636" s="11" t="s">
        <v>6</v>
      </c>
      <c r="H1636" s="13">
        <v>-1100</v>
      </c>
      <c r="I1636" s="14">
        <f t="shared" si="56"/>
        <v>0.28921380000000008</v>
      </c>
      <c r="J1636" s="13">
        <f t="shared" si="57"/>
        <v>293788.84999999992</v>
      </c>
    </row>
    <row r="1637" spans="1:10" x14ac:dyDescent="0.25">
      <c r="A1637" s="10">
        <v>42286</v>
      </c>
      <c r="B1637" s="11" t="s">
        <v>8</v>
      </c>
      <c r="C1637" s="11" t="s">
        <v>5</v>
      </c>
      <c r="D1637" s="16" t="str">
        <f>HYPERLINK("https://freddywills.com/pick/444/marshall-3.html", "Marshall -3")</f>
        <v>Marshall -3</v>
      </c>
      <c r="E1637" s="11">
        <v>2.2000000000000002</v>
      </c>
      <c r="F1637" s="11">
        <v>-1.1000000000000001</v>
      </c>
      <c r="G1637" s="11" t="s">
        <v>4</v>
      </c>
      <c r="H1637" s="13">
        <v>2000</v>
      </c>
      <c r="I1637" s="14">
        <f t="shared" ref="I1637:I1700" si="58">(H1637/100000)+I1638</f>
        <v>0.30021380000000009</v>
      </c>
      <c r="J1637" s="13">
        <f t="shared" ref="J1637:J1700" si="59">H1637+J1638</f>
        <v>294888.84999999992</v>
      </c>
    </row>
    <row r="1638" spans="1:10" x14ac:dyDescent="0.25">
      <c r="A1638" s="10">
        <v>42285</v>
      </c>
      <c r="B1638" s="11" t="s">
        <v>8</v>
      </c>
      <c r="C1638" s="11" t="s">
        <v>7</v>
      </c>
      <c r="D1638" s="16" t="str">
        <f>HYPERLINK("https://freddywills.com/pick/446/over-71-smu-houston.html", "Over 71 SMU/Houston")</f>
        <v>Over 71 SMU/Houston</v>
      </c>
      <c r="E1638" s="11">
        <v>3.3</v>
      </c>
      <c r="F1638" s="11">
        <v>-1.1000000000000001</v>
      </c>
      <c r="G1638" s="11" t="s">
        <v>4</v>
      </c>
      <c r="H1638" s="13">
        <v>3000</v>
      </c>
      <c r="I1638" s="14">
        <f t="shared" si="58"/>
        <v>0.28021380000000007</v>
      </c>
      <c r="J1638" s="13">
        <f t="shared" si="59"/>
        <v>292888.84999999992</v>
      </c>
    </row>
    <row r="1639" spans="1:10" x14ac:dyDescent="0.25">
      <c r="A1639" s="10">
        <v>42285</v>
      </c>
      <c r="B1639" s="11" t="s">
        <v>8</v>
      </c>
      <c r="C1639" s="11" t="s">
        <v>5</v>
      </c>
      <c r="D1639" s="16" t="str">
        <f>HYPERLINK("https://freddywills.com/pick/447/washington-17-5.html", "Washington +17.5")</f>
        <v>Washington +17.5</v>
      </c>
      <c r="E1639" s="11">
        <v>2.2000000000000002</v>
      </c>
      <c r="F1639" s="11">
        <v>-1.1000000000000001</v>
      </c>
      <c r="G1639" s="11" t="s">
        <v>4</v>
      </c>
      <c r="H1639" s="13">
        <v>2000</v>
      </c>
      <c r="I1639" s="14">
        <f t="shared" si="58"/>
        <v>0.2502138000000001</v>
      </c>
      <c r="J1639" s="13">
        <f t="shared" si="59"/>
        <v>289888.84999999992</v>
      </c>
    </row>
    <row r="1640" spans="1:10" x14ac:dyDescent="0.25">
      <c r="A1640" s="10">
        <v>42281</v>
      </c>
      <c r="B1640" s="11" t="s">
        <v>8</v>
      </c>
      <c r="C1640" s="11" t="s">
        <v>5</v>
      </c>
      <c r="D1640" s="16" t="str">
        <f>HYPERLINK("https://freddywills.com/pick/449/pitt-5.html", "Pitt +5")</f>
        <v>Pitt +5</v>
      </c>
      <c r="E1640" s="11">
        <v>3.3</v>
      </c>
      <c r="F1640" s="11">
        <v>-1.1000000000000001</v>
      </c>
      <c r="G1640" s="11" t="s">
        <v>9</v>
      </c>
      <c r="H1640" s="13">
        <v>0</v>
      </c>
      <c r="I1640" s="14">
        <f t="shared" si="58"/>
        <v>0.23021380000000008</v>
      </c>
      <c r="J1640" s="13">
        <f t="shared" si="59"/>
        <v>287888.84999999992</v>
      </c>
    </row>
    <row r="1641" spans="1:10" x14ac:dyDescent="0.25">
      <c r="A1641" s="10">
        <v>42281</v>
      </c>
      <c r="B1641" s="11" t="s">
        <v>2</v>
      </c>
      <c r="C1641" s="11" t="s">
        <v>5</v>
      </c>
      <c r="D1641" s="16" t="str">
        <f>HYPERLINK("https://freddywills.com/pick/450/giants-5-pod.html", "Giants +5 POD")</f>
        <v>Giants +5 POD</v>
      </c>
      <c r="E1641" s="11">
        <v>5.5</v>
      </c>
      <c r="F1641" s="11">
        <v>-1.1000000000000001</v>
      </c>
      <c r="G1641" s="11" t="s">
        <v>4</v>
      </c>
      <c r="H1641" s="13">
        <v>5000</v>
      </c>
      <c r="I1641" s="14">
        <f t="shared" si="58"/>
        <v>0.23021380000000008</v>
      </c>
      <c r="J1641" s="13">
        <f t="shared" si="59"/>
        <v>287888.84999999992</v>
      </c>
    </row>
    <row r="1642" spans="1:10" x14ac:dyDescent="0.25">
      <c r="A1642" s="10">
        <v>42281</v>
      </c>
      <c r="B1642" s="11" t="s">
        <v>2</v>
      </c>
      <c r="C1642" s="11" t="s">
        <v>5</v>
      </c>
      <c r="D1642" s="16" t="str">
        <f>HYPERLINK("https://freddywills.com/pick/451/tb-bucs-3-5-105.html", "TB bucs +3.5 -105")</f>
        <v>TB bucs +3.5 -105</v>
      </c>
      <c r="E1642" s="11">
        <v>3.3</v>
      </c>
      <c r="F1642" s="11">
        <v>-1.05</v>
      </c>
      <c r="G1642" s="11" t="s">
        <v>6</v>
      </c>
      <c r="H1642" s="13">
        <v>-3300</v>
      </c>
      <c r="I1642" s="14">
        <f t="shared" si="58"/>
        <v>0.18021380000000006</v>
      </c>
      <c r="J1642" s="13">
        <f t="shared" si="59"/>
        <v>282888.84999999992</v>
      </c>
    </row>
    <row r="1643" spans="1:10" x14ac:dyDescent="0.25">
      <c r="A1643" s="10">
        <v>42281</v>
      </c>
      <c r="B1643" s="11" t="s">
        <v>2</v>
      </c>
      <c r="C1643" s="11" t="s">
        <v>5</v>
      </c>
      <c r="D1643" s="16" t="str">
        <f>HYPERLINK("https://freddywills.com/pick/452/redskins-3.html", "Redskins +3")</f>
        <v>Redskins +3</v>
      </c>
      <c r="E1643" s="11">
        <v>3.3</v>
      </c>
      <c r="F1643" s="11">
        <v>-1.1000000000000001</v>
      </c>
      <c r="G1643" s="11" t="s">
        <v>4</v>
      </c>
      <c r="H1643" s="13">
        <v>3000</v>
      </c>
      <c r="I1643" s="14">
        <f t="shared" si="58"/>
        <v>0.21321380000000006</v>
      </c>
      <c r="J1643" s="13">
        <f t="shared" si="59"/>
        <v>286188.84999999992</v>
      </c>
    </row>
    <row r="1644" spans="1:10" x14ac:dyDescent="0.25">
      <c r="A1644" s="10">
        <v>42281</v>
      </c>
      <c r="B1644" s="11" t="s">
        <v>2</v>
      </c>
      <c r="C1644" s="11" t="s">
        <v>18</v>
      </c>
      <c r="D1644" s="16" t="str">
        <f>HYPERLINK("https://freddywills.com/pick/453/giants-200.html", "Giants +200")</f>
        <v>Giants +200</v>
      </c>
      <c r="E1644" s="11">
        <v>1</v>
      </c>
      <c r="F1644" s="11">
        <v>2</v>
      </c>
      <c r="G1644" s="11" t="s">
        <v>4</v>
      </c>
      <c r="H1644" s="13">
        <v>2000</v>
      </c>
      <c r="I1644" s="14">
        <f t="shared" si="58"/>
        <v>0.18321380000000007</v>
      </c>
      <c r="J1644" s="13">
        <f t="shared" si="59"/>
        <v>283188.84999999992</v>
      </c>
    </row>
    <row r="1645" spans="1:10" x14ac:dyDescent="0.25">
      <c r="A1645" s="10">
        <v>42280</v>
      </c>
      <c r="B1645" s="11" t="s">
        <v>8</v>
      </c>
      <c r="C1645" s="11" t="s">
        <v>5</v>
      </c>
      <c r="D1645" s="16" t="str">
        <f>HYPERLINK("https://freddywills.com/pick/454/tulsa-7-pod.html", "Tulsa +7  POD")</f>
        <v>Tulsa +7  POD</v>
      </c>
      <c r="E1645" s="11">
        <v>5.5</v>
      </c>
      <c r="F1645" s="11">
        <v>-1.1000000000000001</v>
      </c>
      <c r="G1645" s="11" t="s">
        <v>6</v>
      </c>
      <c r="H1645" s="13">
        <v>-5500</v>
      </c>
      <c r="I1645" s="14">
        <f t="shared" si="58"/>
        <v>0.16321380000000008</v>
      </c>
      <c r="J1645" s="13">
        <f t="shared" si="59"/>
        <v>281188.84999999992</v>
      </c>
    </row>
    <row r="1646" spans="1:10" x14ac:dyDescent="0.25">
      <c r="A1646" s="10">
        <v>42280</v>
      </c>
      <c r="B1646" s="11" t="s">
        <v>8</v>
      </c>
      <c r="C1646" s="11" t="s">
        <v>5</v>
      </c>
      <c r="D1646" s="16" t="str">
        <f>HYPERLINK("https://freddywills.com/pick/455/northwestern-3-5.html", "Northwestern -3.5")</f>
        <v>Northwestern -3.5</v>
      </c>
      <c r="E1646" s="11">
        <v>3.3</v>
      </c>
      <c r="F1646" s="11">
        <v>-1.1000000000000001</v>
      </c>
      <c r="G1646" s="11" t="s">
        <v>4</v>
      </c>
      <c r="H1646" s="13">
        <v>3000</v>
      </c>
      <c r="I1646" s="14">
        <f t="shared" si="58"/>
        <v>0.21821380000000007</v>
      </c>
      <c r="J1646" s="13">
        <f t="shared" si="59"/>
        <v>286688.84999999992</v>
      </c>
    </row>
    <row r="1647" spans="1:10" x14ac:dyDescent="0.25">
      <c r="A1647" s="10">
        <v>42280</v>
      </c>
      <c r="B1647" s="11" t="s">
        <v>8</v>
      </c>
      <c r="C1647" s="11" t="s">
        <v>5</v>
      </c>
      <c r="D1647" s="16" t="str">
        <f>HYPERLINK("https://freddywills.com/pick/456/buffalo-8.html", "Buffalo +8")</f>
        <v>Buffalo +8</v>
      </c>
      <c r="E1647" s="11">
        <v>4.4000000000000004</v>
      </c>
      <c r="F1647" s="11">
        <v>-1.1000000000000001</v>
      </c>
      <c r="G1647" s="11" t="s">
        <v>4</v>
      </c>
      <c r="H1647" s="13">
        <v>4000</v>
      </c>
      <c r="I1647" s="14">
        <f t="shared" si="58"/>
        <v>0.18821380000000007</v>
      </c>
      <c r="J1647" s="13">
        <f t="shared" si="59"/>
        <v>283688.84999999992</v>
      </c>
    </row>
    <row r="1648" spans="1:10" x14ac:dyDescent="0.25">
      <c r="A1648" s="10">
        <v>42280</v>
      </c>
      <c r="B1648" s="11" t="s">
        <v>8</v>
      </c>
      <c r="C1648" s="11" t="s">
        <v>5</v>
      </c>
      <c r="D1648" s="16" t="str">
        <f>HYPERLINK("https://freddywills.com/pick/457/air-force-5.html", "Air Force +5")</f>
        <v>Air Force +5</v>
      </c>
      <c r="E1648" s="11">
        <v>2.2000000000000002</v>
      </c>
      <c r="F1648" s="11">
        <v>-1.1000000000000001</v>
      </c>
      <c r="G1648" s="11" t="s">
        <v>6</v>
      </c>
      <c r="H1648" s="13">
        <v>-2200</v>
      </c>
      <c r="I1648" s="14">
        <f t="shared" si="58"/>
        <v>0.14821380000000006</v>
      </c>
      <c r="J1648" s="13">
        <f t="shared" si="59"/>
        <v>279688.84999999992</v>
      </c>
    </row>
    <row r="1649" spans="1:10" x14ac:dyDescent="0.25">
      <c r="A1649" s="10">
        <v>42280</v>
      </c>
      <c r="B1649" s="11" t="s">
        <v>8</v>
      </c>
      <c r="C1649" s="11" t="s">
        <v>5</v>
      </c>
      <c r="D1649" s="16" t="str">
        <f>HYPERLINK("https://freddywills.com/pick/458/florida-7-5-105.html", "Florida +7.5 -105")</f>
        <v>Florida +7.5 -105</v>
      </c>
      <c r="E1649" s="11">
        <v>3.3</v>
      </c>
      <c r="F1649" s="11">
        <v>-1.05</v>
      </c>
      <c r="G1649" s="11" t="s">
        <v>4</v>
      </c>
      <c r="H1649" s="13">
        <v>3142.86</v>
      </c>
      <c r="I1649" s="14">
        <f t="shared" si="58"/>
        <v>0.17021380000000005</v>
      </c>
      <c r="J1649" s="13">
        <f t="shared" si="59"/>
        <v>281888.84999999992</v>
      </c>
    </row>
    <row r="1650" spans="1:10" x14ac:dyDescent="0.25">
      <c r="A1650" s="10">
        <v>42280</v>
      </c>
      <c r="B1650" s="11" t="s">
        <v>8</v>
      </c>
      <c r="C1650" s="11" t="s">
        <v>18</v>
      </c>
      <c r="D1650" s="16" t="str">
        <f>HYPERLINK("https://freddywills.com/pick/459/vanderbilt-125.html", "Vanderbilt +125")</f>
        <v>Vanderbilt +125</v>
      </c>
      <c r="E1650" s="11">
        <v>3</v>
      </c>
      <c r="F1650" s="11">
        <v>1.25</v>
      </c>
      <c r="G1650" s="11" t="s">
        <v>4</v>
      </c>
      <c r="H1650" s="13">
        <v>3750</v>
      </c>
      <c r="I1650" s="14">
        <f t="shared" si="58"/>
        <v>0.13878520000000005</v>
      </c>
      <c r="J1650" s="13">
        <f t="shared" si="59"/>
        <v>278745.98999999993</v>
      </c>
    </row>
    <row r="1651" spans="1:10" x14ac:dyDescent="0.25">
      <c r="A1651" s="10">
        <v>42280</v>
      </c>
      <c r="B1651" s="11" t="s">
        <v>8</v>
      </c>
      <c r="C1651" s="11" t="s">
        <v>18</v>
      </c>
      <c r="D1651" s="16" t="str">
        <f>HYPERLINK("https://freddywills.com/pick/460/tulsa-230.html", "Tulsa +230")</f>
        <v>Tulsa +230</v>
      </c>
      <c r="E1651" s="11">
        <v>1.1000000000000001</v>
      </c>
      <c r="F1651" s="11">
        <v>2.2999999999999998</v>
      </c>
      <c r="G1651" s="11" t="s">
        <v>6</v>
      </c>
      <c r="H1651" s="13">
        <v>-1100</v>
      </c>
      <c r="I1651" s="14">
        <f t="shared" si="58"/>
        <v>0.10128520000000005</v>
      </c>
      <c r="J1651" s="13">
        <f t="shared" si="59"/>
        <v>274995.98999999993</v>
      </c>
    </row>
    <row r="1652" spans="1:10" x14ac:dyDescent="0.25">
      <c r="A1652" s="10">
        <v>42280</v>
      </c>
      <c r="B1652" s="11" t="s">
        <v>8</v>
      </c>
      <c r="C1652" s="11" t="s">
        <v>5</v>
      </c>
      <c r="D1652" s="16" t="str">
        <f>HYPERLINK("https://freddywills.com/pick/461/louisville-4-5.html", "Louisville +4.5")</f>
        <v>Louisville +4.5</v>
      </c>
      <c r="E1652" s="11">
        <v>3.3</v>
      </c>
      <c r="F1652" s="11">
        <v>-1.1000000000000001</v>
      </c>
      <c r="G1652" s="11" t="s">
        <v>4</v>
      </c>
      <c r="H1652" s="13">
        <v>3000</v>
      </c>
      <c r="I1652" s="14">
        <f t="shared" si="58"/>
        <v>0.11228520000000004</v>
      </c>
      <c r="J1652" s="13">
        <f t="shared" si="59"/>
        <v>276095.98999999993</v>
      </c>
    </row>
    <row r="1653" spans="1:10" x14ac:dyDescent="0.25">
      <c r="A1653" s="10">
        <v>42280</v>
      </c>
      <c r="B1653" s="11" t="s">
        <v>8</v>
      </c>
      <c r="C1653" s="11" t="s">
        <v>5</v>
      </c>
      <c r="D1653" s="16" t="str">
        <f>HYPERLINK("https://freddywills.com/pick/462/northwestern-3-5.html", "Northwestern -3.5")</f>
        <v>Northwestern -3.5</v>
      </c>
      <c r="E1653" s="11">
        <v>3.3</v>
      </c>
      <c r="F1653" s="11">
        <v>-1.1000000000000001</v>
      </c>
      <c r="G1653" s="11" t="s">
        <v>4</v>
      </c>
      <c r="H1653" s="13">
        <v>3000</v>
      </c>
      <c r="I1653" s="14">
        <f t="shared" si="58"/>
        <v>8.2285200000000044E-2</v>
      </c>
      <c r="J1653" s="13">
        <f t="shared" si="59"/>
        <v>273095.98999999993</v>
      </c>
    </row>
    <row r="1654" spans="1:10" x14ac:dyDescent="0.25">
      <c r="A1654" s="10">
        <v>42280</v>
      </c>
      <c r="B1654" s="11" t="s">
        <v>8</v>
      </c>
      <c r="C1654" s="11" t="s">
        <v>5</v>
      </c>
      <c r="D1654" s="16" t="str">
        <f>HYPERLINK("https://freddywills.com/pick/463/fiu-3.html", "FIU +3")</f>
        <v>FIU +3</v>
      </c>
      <c r="E1654" s="11">
        <v>4.4000000000000004</v>
      </c>
      <c r="F1654" s="11">
        <v>-1.1000000000000001</v>
      </c>
      <c r="G1654" s="11" t="s">
        <v>6</v>
      </c>
      <c r="H1654" s="13">
        <v>-4400</v>
      </c>
      <c r="I1654" s="14">
        <f t="shared" si="58"/>
        <v>5.2285200000000046E-2</v>
      </c>
      <c r="J1654" s="13">
        <f t="shared" si="59"/>
        <v>270095.98999999993</v>
      </c>
    </row>
    <row r="1655" spans="1:10" x14ac:dyDescent="0.25">
      <c r="A1655" s="10">
        <v>42280</v>
      </c>
      <c r="B1655" s="11" t="s">
        <v>8</v>
      </c>
      <c r="C1655" s="11" t="s">
        <v>10</v>
      </c>
      <c r="D1655" s="16" t="str">
        <f>HYPERLINK("https://freddywills.com/pick/464/alabama-8-5-tx-a-amp-m-0-5.html", "Alabama +8.5/TX A&amp;amp;M -0.5")</f>
        <v>Alabama +8.5/TX A&amp;amp;M -0.5</v>
      </c>
      <c r="E1655" s="11">
        <v>4.4000000000000004</v>
      </c>
      <c r="F1655" s="11">
        <v>-1.1000000000000001</v>
      </c>
      <c r="G1655" s="11" t="s">
        <v>4</v>
      </c>
      <c r="H1655" s="13">
        <v>4000</v>
      </c>
      <c r="I1655" s="14">
        <f t="shared" si="58"/>
        <v>9.6285200000000043E-2</v>
      </c>
      <c r="J1655" s="13">
        <f t="shared" si="59"/>
        <v>274495.98999999993</v>
      </c>
    </row>
    <row r="1656" spans="1:10" x14ac:dyDescent="0.25">
      <c r="A1656" s="10">
        <v>42279</v>
      </c>
      <c r="B1656" s="11" t="s">
        <v>8</v>
      </c>
      <c r="C1656" s="11" t="s">
        <v>5</v>
      </c>
      <c r="D1656" s="16" t="str">
        <f>HYPERLINK("https://freddywills.com/pick/465/south-florida-7-5.html", "South Florida +7.5")</f>
        <v>South Florida +7.5</v>
      </c>
      <c r="E1656" s="11">
        <v>3.3</v>
      </c>
      <c r="F1656" s="11">
        <v>-1.1000000000000001</v>
      </c>
      <c r="G1656" s="11" t="s">
        <v>4</v>
      </c>
      <c r="H1656" s="13">
        <v>3000</v>
      </c>
      <c r="I1656" s="14">
        <f t="shared" si="58"/>
        <v>5.6285200000000049E-2</v>
      </c>
      <c r="J1656" s="13">
        <f t="shared" si="59"/>
        <v>270495.98999999993</v>
      </c>
    </row>
    <row r="1657" spans="1:10" x14ac:dyDescent="0.25">
      <c r="A1657" s="10">
        <v>42278</v>
      </c>
      <c r="B1657" s="11" t="s">
        <v>8</v>
      </c>
      <c r="C1657" s="11" t="s">
        <v>5</v>
      </c>
      <c r="D1657" s="16" t="str">
        <f>HYPERLINK("https://freddywills.com/pick/466/cincinnati-7-115.html", "Cincinnati +7 -115")</f>
        <v>Cincinnati +7 -115</v>
      </c>
      <c r="E1657" s="11">
        <v>3.5</v>
      </c>
      <c r="F1657" s="11">
        <v>-1.1499999999999999</v>
      </c>
      <c r="G1657" s="11" t="s">
        <v>4</v>
      </c>
      <c r="H1657" s="13">
        <v>3043.48</v>
      </c>
      <c r="I1657" s="14">
        <f t="shared" si="58"/>
        <v>2.6285200000000047E-2</v>
      </c>
      <c r="J1657" s="13">
        <f t="shared" si="59"/>
        <v>267495.98999999993</v>
      </c>
    </row>
    <row r="1658" spans="1:10" x14ac:dyDescent="0.25">
      <c r="A1658" s="10">
        <v>42278</v>
      </c>
      <c r="B1658" s="11" t="s">
        <v>2</v>
      </c>
      <c r="C1658" s="11" t="s">
        <v>5</v>
      </c>
      <c r="D1658" s="16" t="str">
        <f>HYPERLINK("https://freddywills.com/pick/467/steelers-3-3-3-play.html", "Steelers +3 3.3* play")</f>
        <v>Steelers +3 3.3* play</v>
      </c>
      <c r="E1658" s="11">
        <v>3.3</v>
      </c>
      <c r="F1658" s="11">
        <v>-1.1000000000000001</v>
      </c>
      <c r="G1658" s="11" t="s">
        <v>9</v>
      </c>
      <c r="H1658" s="13">
        <v>0</v>
      </c>
      <c r="I1658" s="14">
        <f t="shared" si="58"/>
        <v>-4.1495999999999547E-3</v>
      </c>
      <c r="J1658" s="13">
        <f t="shared" si="59"/>
        <v>264452.50999999995</v>
      </c>
    </row>
    <row r="1659" spans="1:10" x14ac:dyDescent="0.25">
      <c r="A1659" s="10">
        <v>42274</v>
      </c>
      <c r="B1659" s="11" t="s">
        <v>2</v>
      </c>
      <c r="C1659" s="11" t="s">
        <v>5</v>
      </c>
      <c r="D1659" s="16" t="str">
        <f>HYPERLINK("https://freddywills.com/pick/468/miami-dolphins-2-5-pod.html", "Miami Dolphins -2.5 POD")</f>
        <v>Miami Dolphins -2.5 POD</v>
      </c>
      <c r="E1659" s="11">
        <v>5.5</v>
      </c>
      <c r="F1659" s="11">
        <v>-1.1000000000000001</v>
      </c>
      <c r="G1659" s="11" t="s">
        <v>6</v>
      </c>
      <c r="H1659" s="13">
        <v>-5500</v>
      </c>
      <c r="I1659" s="14">
        <f t="shared" si="58"/>
        <v>-4.1495999999999547E-3</v>
      </c>
      <c r="J1659" s="13">
        <f t="shared" si="59"/>
        <v>264452.50999999995</v>
      </c>
    </row>
    <row r="1660" spans="1:10" x14ac:dyDescent="0.25">
      <c r="A1660" s="10">
        <v>42274</v>
      </c>
      <c r="B1660" s="11" t="s">
        <v>2</v>
      </c>
      <c r="C1660" s="11" t="s">
        <v>5</v>
      </c>
      <c r="D1660" s="16" t="str">
        <f>HYPERLINK("https://freddywills.com/pick/469/saints-10-115.html", "Saints +10 -115")</f>
        <v>Saints +10 -115</v>
      </c>
      <c r="E1660" s="11">
        <v>2</v>
      </c>
      <c r="F1660" s="11">
        <v>-1.1499999999999999</v>
      </c>
      <c r="G1660" s="11" t="s">
        <v>4</v>
      </c>
      <c r="H1660" s="13">
        <v>1739.13</v>
      </c>
      <c r="I1660" s="14">
        <f t="shared" si="58"/>
        <v>5.0850400000000046E-2</v>
      </c>
      <c r="J1660" s="13">
        <f t="shared" si="59"/>
        <v>269952.50999999995</v>
      </c>
    </row>
    <row r="1661" spans="1:10" x14ac:dyDescent="0.25">
      <c r="A1661" s="10">
        <v>42274</v>
      </c>
      <c r="B1661" s="11" t="s">
        <v>2</v>
      </c>
      <c r="C1661" s="11" t="s">
        <v>5</v>
      </c>
      <c r="D1661" s="16" t="str">
        <f>HYPERLINK("https://freddywills.com/pick/470/rams-1.html", "Rams +1")</f>
        <v>Rams +1</v>
      </c>
      <c r="E1661" s="11">
        <v>3.3</v>
      </c>
      <c r="F1661" s="11">
        <v>-1.1000000000000001</v>
      </c>
      <c r="G1661" s="11" t="s">
        <v>6</v>
      </c>
      <c r="H1661" s="13">
        <v>-3300</v>
      </c>
      <c r="I1661" s="14">
        <f t="shared" si="58"/>
        <v>3.3459100000000047E-2</v>
      </c>
      <c r="J1661" s="13">
        <f t="shared" si="59"/>
        <v>268213.37999999995</v>
      </c>
    </row>
    <row r="1662" spans="1:10" x14ac:dyDescent="0.25">
      <c r="A1662" s="10">
        <v>42274</v>
      </c>
      <c r="B1662" s="11" t="s">
        <v>2</v>
      </c>
      <c r="C1662" s="11" t="s">
        <v>5</v>
      </c>
      <c r="D1662" s="16" t="str">
        <f>HYPERLINK("https://freddywills.com/pick/471/ravens-2-5-105.html", "Ravens -2.5 -105")</f>
        <v>Ravens -2.5 -105</v>
      </c>
      <c r="E1662" s="11">
        <v>3.5</v>
      </c>
      <c r="F1662" s="11">
        <v>-1.05</v>
      </c>
      <c r="G1662" s="11" t="s">
        <v>6</v>
      </c>
      <c r="H1662" s="13">
        <v>-3500</v>
      </c>
      <c r="I1662" s="14">
        <f t="shared" si="58"/>
        <v>6.6459100000000049E-2</v>
      </c>
      <c r="J1662" s="13">
        <f t="shared" si="59"/>
        <v>271513.37999999995</v>
      </c>
    </row>
    <row r="1663" spans="1:10" x14ac:dyDescent="0.25">
      <c r="A1663" s="10">
        <v>42274</v>
      </c>
      <c r="B1663" s="11" t="s">
        <v>2</v>
      </c>
      <c r="C1663" s="11" t="s">
        <v>5</v>
      </c>
      <c r="D1663" s="16" t="str">
        <f>HYPERLINK("https://freddywills.com/pick/472/chargers-1-2-2.html", "Chargers +1 2.2*")</f>
        <v>Chargers +1 2.2*</v>
      </c>
      <c r="E1663" s="11">
        <v>2.2000000000000002</v>
      </c>
      <c r="F1663" s="11">
        <v>-1.1000000000000001</v>
      </c>
      <c r="G1663" s="11" t="s">
        <v>6</v>
      </c>
      <c r="H1663" s="13">
        <v>-2200</v>
      </c>
      <c r="I1663" s="14">
        <f t="shared" si="58"/>
        <v>0.10145910000000005</v>
      </c>
      <c r="J1663" s="13">
        <f t="shared" si="59"/>
        <v>275013.37999999995</v>
      </c>
    </row>
    <row r="1664" spans="1:10" x14ac:dyDescent="0.25">
      <c r="A1664" s="10">
        <v>42273</v>
      </c>
      <c r="B1664" s="11" t="s">
        <v>8</v>
      </c>
      <c r="C1664" s="11" t="s">
        <v>18</v>
      </c>
      <c r="D1664" s="16" t="str">
        <f>HYPERLINK("https://freddywills.com/pick/473/nevada-105.html", "Nevada +105")</f>
        <v>Nevada +105</v>
      </c>
      <c r="E1664" s="11">
        <v>2</v>
      </c>
      <c r="F1664" s="11">
        <v>1.05</v>
      </c>
      <c r="G1664" s="11" t="s">
        <v>4</v>
      </c>
      <c r="H1664" s="13">
        <v>2100</v>
      </c>
      <c r="I1664" s="14">
        <f t="shared" si="58"/>
        <v>0.12345910000000006</v>
      </c>
      <c r="J1664" s="13">
        <f t="shared" si="59"/>
        <v>277213.37999999995</v>
      </c>
    </row>
    <row r="1665" spans="1:10" x14ac:dyDescent="0.25">
      <c r="A1665" s="10">
        <v>42273</v>
      </c>
      <c r="B1665" s="11" t="s">
        <v>8</v>
      </c>
      <c r="C1665" s="11" t="s">
        <v>5</v>
      </c>
      <c r="D1665" s="16" t="str">
        <f>HYPERLINK("https://freddywills.com/pick/474/utah-12-5.html", "Utah +12.5")</f>
        <v>Utah +12.5</v>
      </c>
      <c r="E1665" s="11">
        <v>2.75</v>
      </c>
      <c r="F1665" s="11">
        <v>-1.1000000000000001</v>
      </c>
      <c r="G1665" s="11" t="s">
        <v>4</v>
      </c>
      <c r="H1665" s="13">
        <v>2500</v>
      </c>
      <c r="I1665" s="14">
        <f t="shared" si="58"/>
        <v>0.10245910000000005</v>
      </c>
      <c r="J1665" s="13">
        <f t="shared" si="59"/>
        <v>275113.37999999995</v>
      </c>
    </row>
    <row r="1666" spans="1:10" x14ac:dyDescent="0.25">
      <c r="A1666" s="10">
        <v>42273</v>
      </c>
      <c r="B1666" s="11" t="s">
        <v>8</v>
      </c>
      <c r="C1666" s="11" t="s">
        <v>18</v>
      </c>
      <c r="D1666" s="16" t="str">
        <f>HYPERLINK("https://freddywills.com/pick/475/purdue-180.html", "Purdue +180")</f>
        <v>Purdue +180</v>
      </c>
      <c r="E1666" s="11">
        <v>1</v>
      </c>
      <c r="F1666" s="11">
        <v>1.8</v>
      </c>
      <c r="G1666" s="11" t="s">
        <v>6</v>
      </c>
      <c r="H1666" s="13">
        <v>-1000</v>
      </c>
      <c r="I1666" s="14">
        <f t="shared" si="58"/>
        <v>7.7459100000000058E-2</v>
      </c>
      <c r="J1666" s="13">
        <f t="shared" si="59"/>
        <v>272613.37999999995</v>
      </c>
    </row>
    <row r="1667" spans="1:10" x14ac:dyDescent="0.25">
      <c r="A1667" s="10">
        <v>42273</v>
      </c>
      <c r="B1667" s="11" t="s">
        <v>8</v>
      </c>
      <c r="C1667" s="11" t="s">
        <v>5</v>
      </c>
      <c r="D1667" s="16" t="str">
        <f>HYPERLINK("https://freddywills.com/pick/476/arizona-st-5-5.html", "Arizona St +5.5")</f>
        <v>Arizona St +5.5</v>
      </c>
      <c r="E1667" s="11">
        <v>3.3</v>
      </c>
      <c r="F1667" s="11">
        <v>-1.1000000000000001</v>
      </c>
      <c r="G1667" s="11" t="s">
        <v>6</v>
      </c>
      <c r="H1667" s="13">
        <v>-3300</v>
      </c>
      <c r="I1667" s="14">
        <f t="shared" si="58"/>
        <v>8.7459100000000053E-2</v>
      </c>
      <c r="J1667" s="13">
        <f t="shared" si="59"/>
        <v>273613.37999999995</v>
      </c>
    </row>
    <row r="1668" spans="1:10" x14ac:dyDescent="0.25">
      <c r="A1668" s="10">
        <v>42273</v>
      </c>
      <c r="B1668" s="11" t="s">
        <v>8</v>
      </c>
      <c r="C1668" s="11" t="s">
        <v>5</v>
      </c>
      <c r="D1668" s="16" t="str">
        <f>HYPERLINK("https://freddywills.com/pick/477/auburn-3-100.html", "Auburn -3 +100")</f>
        <v>Auburn -3 +100</v>
      </c>
      <c r="E1668" s="11">
        <v>2</v>
      </c>
      <c r="F1668" s="11">
        <v>1</v>
      </c>
      <c r="G1668" s="11" t="s">
        <v>6</v>
      </c>
      <c r="H1668" s="13">
        <v>-2000</v>
      </c>
      <c r="I1668" s="14">
        <f t="shared" si="58"/>
        <v>0.12045910000000006</v>
      </c>
      <c r="J1668" s="13">
        <f t="shared" si="59"/>
        <v>276913.37999999995</v>
      </c>
    </row>
    <row r="1669" spans="1:10" x14ac:dyDescent="0.25">
      <c r="A1669" s="10">
        <v>42273</v>
      </c>
      <c r="B1669" s="11" t="s">
        <v>8</v>
      </c>
      <c r="C1669" s="11" t="s">
        <v>5</v>
      </c>
      <c r="D1669" s="16" t="str">
        <f>HYPERLINK("https://freddywills.com/pick/478/arkansas-state-7.html", "Arkansas State +7")</f>
        <v>Arkansas State +7</v>
      </c>
      <c r="E1669" s="11">
        <v>3.3</v>
      </c>
      <c r="F1669" s="11">
        <v>-1.1000000000000001</v>
      </c>
      <c r="G1669" s="11" t="s">
        <v>6</v>
      </c>
      <c r="H1669" s="13">
        <v>-3300</v>
      </c>
      <c r="I1669" s="14">
        <f t="shared" si="58"/>
        <v>0.14045910000000006</v>
      </c>
      <c r="J1669" s="13">
        <f t="shared" si="59"/>
        <v>278913.37999999995</v>
      </c>
    </row>
    <row r="1670" spans="1:10" x14ac:dyDescent="0.25">
      <c r="A1670" s="10">
        <v>42273</v>
      </c>
      <c r="B1670" s="11" t="s">
        <v>8</v>
      </c>
      <c r="C1670" s="11" t="s">
        <v>5</v>
      </c>
      <c r="D1670" s="16" t="str">
        <f>HYPERLINK("https://freddywills.com/pick/479/ucla-3-105.html", "UCLA -3 -105")</f>
        <v>UCLA -3 -105</v>
      </c>
      <c r="E1670" s="11">
        <v>3.3</v>
      </c>
      <c r="F1670" s="11">
        <v>-1.1000000000000001</v>
      </c>
      <c r="G1670" s="11" t="s">
        <v>4</v>
      </c>
      <c r="H1670" s="13">
        <v>3000</v>
      </c>
      <c r="I1670" s="14">
        <f t="shared" si="58"/>
        <v>0.17345910000000006</v>
      </c>
      <c r="J1670" s="13">
        <f t="shared" si="59"/>
        <v>282213.37999999995</v>
      </c>
    </row>
    <row r="1671" spans="1:10" x14ac:dyDescent="0.25">
      <c r="A1671" s="10">
        <v>42273</v>
      </c>
      <c r="B1671" s="11" t="s">
        <v>8</v>
      </c>
      <c r="C1671" s="11" t="s">
        <v>5</v>
      </c>
      <c r="D1671" s="16" t="str">
        <f>HYPERLINK("https://freddywills.com/pick/480/duke-7-5.html", "Duke +7.5")</f>
        <v>Duke +7.5</v>
      </c>
      <c r="E1671" s="11">
        <v>2.2000000000000002</v>
      </c>
      <c r="F1671" s="11">
        <v>-1.1000000000000001</v>
      </c>
      <c r="G1671" s="11" t="s">
        <v>4</v>
      </c>
      <c r="H1671" s="13">
        <v>2000</v>
      </c>
      <c r="I1671" s="14">
        <f t="shared" si="58"/>
        <v>0.14345910000000006</v>
      </c>
      <c r="J1671" s="13">
        <f t="shared" si="59"/>
        <v>279213.37999999995</v>
      </c>
    </row>
    <row r="1672" spans="1:10" x14ac:dyDescent="0.25">
      <c r="A1672" s="10">
        <v>42273</v>
      </c>
      <c r="B1672" s="11" t="s">
        <v>8</v>
      </c>
      <c r="C1672" s="11" t="s">
        <v>5</v>
      </c>
      <c r="D1672" s="16" t="str">
        <f>HYPERLINK("https://freddywills.com/pick/481/purdue-5-5-pod.html", "Purdue +5.5 POD")</f>
        <v>Purdue +5.5 POD</v>
      </c>
      <c r="E1672" s="11">
        <v>5.5</v>
      </c>
      <c r="F1672" s="11">
        <v>-1.1000000000000001</v>
      </c>
      <c r="G1672" s="11" t="s">
        <v>6</v>
      </c>
      <c r="H1672" s="13">
        <v>-5500</v>
      </c>
      <c r="I1672" s="14">
        <f t="shared" si="58"/>
        <v>0.12345910000000007</v>
      </c>
      <c r="J1672" s="13">
        <f t="shared" si="59"/>
        <v>277213.37999999995</v>
      </c>
    </row>
    <row r="1673" spans="1:10" x14ac:dyDescent="0.25">
      <c r="A1673" s="10">
        <v>42272</v>
      </c>
      <c r="B1673" s="11" t="s">
        <v>8</v>
      </c>
      <c r="C1673" s="11" t="s">
        <v>7</v>
      </c>
      <c r="D1673" s="16" t="str">
        <f>HYPERLINK("https://freddywills.com/pick/482/virginia-boise-u49.html", "Virginia / Boise U49")</f>
        <v>Virginia / Boise U49</v>
      </c>
      <c r="E1673" s="11">
        <v>3.3</v>
      </c>
      <c r="F1673" s="11">
        <v>-1.1000000000000001</v>
      </c>
      <c r="G1673" s="11" t="s">
        <v>6</v>
      </c>
      <c r="H1673" s="13">
        <v>-3300</v>
      </c>
      <c r="I1673" s="14">
        <f t="shared" si="58"/>
        <v>0.17845910000000006</v>
      </c>
      <c r="J1673" s="13">
        <f t="shared" si="59"/>
        <v>282713.37999999995</v>
      </c>
    </row>
    <row r="1674" spans="1:10" x14ac:dyDescent="0.25">
      <c r="A1674" s="10">
        <v>42272</v>
      </c>
      <c r="B1674" s="11" t="s">
        <v>8</v>
      </c>
      <c r="C1674" s="11" t="s">
        <v>5</v>
      </c>
      <c r="D1674" s="16" t="str">
        <f>HYPERLINK("https://freddywills.com/pick/483/oregon-st-14-pod.html", "Oregon St +14 POD")</f>
        <v>Oregon St +14 POD</v>
      </c>
      <c r="E1674" s="11">
        <v>4.5</v>
      </c>
      <c r="F1674" s="11">
        <v>-1.1000000000000001</v>
      </c>
      <c r="G1674" s="11" t="s">
        <v>6</v>
      </c>
      <c r="H1674" s="13">
        <v>-4500</v>
      </c>
      <c r="I1674" s="14">
        <f t="shared" si="58"/>
        <v>0.21145910000000007</v>
      </c>
      <c r="J1674" s="13">
        <f t="shared" si="59"/>
        <v>286013.37999999995</v>
      </c>
    </row>
    <row r="1675" spans="1:10" x14ac:dyDescent="0.25">
      <c r="A1675" s="10">
        <v>42271</v>
      </c>
      <c r="B1675" s="11" t="s">
        <v>8</v>
      </c>
      <c r="C1675" s="11" t="s">
        <v>5</v>
      </c>
      <c r="D1675" s="16" t="str">
        <f>HYPERLINK("https://freddywills.com/pick/484/cincinnati-10-pod.html", "Cincinnati +10 (POD)")</f>
        <v>Cincinnati +10 (POD)</v>
      </c>
      <c r="E1675" s="11">
        <v>4.4000000000000004</v>
      </c>
      <c r="F1675" s="11">
        <v>-1.1000000000000001</v>
      </c>
      <c r="G1675" s="11" t="s">
        <v>4</v>
      </c>
      <c r="H1675" s="13">
        <v>4000</v>
      </c>
      <c r="I1675" s="14">
        <f t="shared" si="58"/>
        <v>0.25645910000000005</v>
      </c>
      <c r="J1675" s="13">
        <f t="shared" si="59"/>
        <v>290513.37999999995</v>
      </c>
    </row>
    <row r="1676" spans="1:10" x14ac:dyDescent="0.25">
      <c r="A1676" s="10">
        <v>42271</v>
      </c>
      <c r="B1676" s="11" t="s">
        <v>2</v>
      </c>
      <c r="C1676" s="11" t="s">
        <v>5</v>
      </c>
      <c r="D1676" s="16" t="str">
        <f>HYPERLINK("https://freddywills.com/pick/485/giants-3.html", "Giants -3")</f>
        <v>Giants -3</v>
      </c>
      <c r="E1676" s="11">
        <v>3.3</v>
      </c>
      <c r="F1676" s="11">
        <v>-1.1000000000000001</v>
      </c>
      <c r="G1676" s="11" t="s">
        <v>4</v>
      </c>
      <c r="H1676" s="13">
        <v>3000</v>
      </c>
      <c r="I1676" s="14">
        <f t="shared" si="58"/>
        <v>0.21645910000000004</v>
      </c>
      <c r="J1676" s="13">
        <f t="shared" si="59"/>
        <v>286513.37999999995</v>
      </c>
    </row>
    <row r="1677" spans="1:10" x14ac:dyDescent="0.25">
      <c r="A1677" s="10">
        <v>42267</v>
      </c>
      <c r="B1677" s="11" t="s">
        <v>2</v>
      </c>
      <c r="C1677" s="11" t="s">
        <v>5</v>
      </c>
      <c r="D1677" s="16" t="str">
        <f>HYPERLINK("https://freddywills.com/pick/487/steelers-5.html", "Steelers -5")</f>
        <v>Steelers -5</v>
      </c>
      <c r="E1677" s="11">
        <v>2.5</v>
      </c>
      <c r="F1677" s="11">
        <v>-1.1000000000000001</v>
      </c>
      <c r="G1677" s="11" t="s">
        <v>4</v>
      </c>
      <c r="H1677" s="13">
        <v>2272.73</v>
      </c>
      <c r="I1677" s="14">
        <f t="shared" si="58"/>
        <v>0.18645910000000004</v>
      </c>
      <c r="J1677" s="13">
        <f t="shared" si="59"/>
        <v>283513.37999999995</v>
      </c>
    </row>
    <row r="1678" spans="1:10" x14ac:dyDescent="0.25">
      <c r="A1678" s="10">
        <v>42267</v>
      </c>
      <c r="B1678" s="11" t="s">
        <v>2</v>
      </c>
      <c r="C1678" s="11" t="s">
        <v>5</v>
      </c>
      <c r="D1678" s="16" t="str">
        <f>HYPERLINK("https://freddywills.com/pick/488/cleveland-browns-2.html", "Cleveland Browns +2")</f>
        <v>Cleveland Browns +2</v>
      </c>
      <c r="E1678" s="11">
        <v>5.5</v>
      </c>
      <c r="F1678" s="11">
        <v>-1.1000000000000001</v>
      </c>
      <c r="G1678" s="11" t="s">
        <v>4</v>
      </c>
      <c r="H1678" s="13">
        <v>5000</v>
      </c>
      <c r="I1678" s="14">
        <f t="shared" si="58"/>
        <v>0.16373180000000004</v>
      </c>
      <c r="J1678" s="13">
        <f t="shared" si="59"/>
        <v>281240.64999999997</v>
      </c>
    </row>
    <row r="1679" spans="1:10" x14ac:dyDescent="0.25">
      <c r="A1679" s="10">
        <v>42267</v>
      </c>
      <c r="B1679" s="11" t="s">
        <v>2</v>
      </c>
      <c r="C1679" s="11" t="s">
        <v>18</v>
      </c>
      <c r="D1679" s="16" t="str">
        <f>HYPERLINK("https://freddywills.com/pick/489/texans-135.html", "Texans +135")</f>
        <v>Texans +135</v>
      </c>
      <c r="E1679" s="11">
        <v>3</v>
      </c>
      <c r="F1679" s="11">
        <v>1.35</v>
      </c>
      <c r="G1679" s="11" t="s">
        <v>6</v>
      </c>
      <c r="H1679" s="13">
        <v>-3000</v>
      </c>
      <c r="I1679" s="14">
        <f t="shared" si="58"/>
        <v>0.11373180000000002</v>
      </c>
      <c r="J1679" s="13">
        <f t="shared" si="59"/>
        <v>276240.64999999997</v>
      </c>
    </row>
    <row r="1680" spans="1:10" x14ac:dyDescent="0.25">
      <c r="A1680" s="10">
        <v>42267</v>
      </c>
      <c r="B1680" s="11" t="s">
        <v>2</v>
      </c>
      <c r="C1680" s="11" t="s">
        <v>5</v>
      </c>
      <c r="D1680" s="16" t="str">
        <f>HYPERLINK("https://freddywills.com/pick/490/redskins-3-115.html", "Redskins +3 -115")</f>
        <v>Redskins +3 -115</v>
      </c>
      <c r="E1680" s="11">
        <v>3</v>
      </c>
      <c r="F1680" s="11">
        <v>-1.1000000000000001</v>
      </c>
      <c r="G1680" s="11" t="s">
        <v>4</v>
      </c>
      <c r="H1680" s="13">
        <v>2727.27</v>
      </c>
      <c r="I1680" s="14">
        <f t="shared" si="58"/>
        <v>0.14373180000000002</v>
      </c>
      <c r="J1680" s="13">
        <f t="shared" si="59"/>
        <v>279240.64999999997</v>
      </c>
    </row>
    <row r="1681" spans="1:10" x14ac:dyDescent="0.25">
      <c r="A1681" s="10">
        <v>42267</v>
      </c>
      <c r="B1681" s="11" t="s">
        <v>2</v>
      </c>
      <c r="C1681" s="11" t="s">
        <v>5</v>
      </c>
      <c r="D1681" s="16" t="str">
        <f>HYPERLINK("https://freddywills.com/pick/491/raiders-7-115.html", "Raiders +7 -115")</f>
        <v>Raiders +7 -115</v>
      </c>
      <c r="E1681" s="11">
        <v>2.5</v>
      </c>
      <c r="F1681" s="11">
        <v>-1.1000000000000001</v>
      </c>
      <c r="G1681" s="11" t="s">
        <v>4</v>
      </c>
      <c r="H1681" s="13">
        <v>2272.73</v>
      </c>
      <c r="I1681" s="14">
        <f t="shared" si="58"/>
        <v>0.11645910000000001</v>
      </c>
      <c r="J1681" s="13">
        <f t="shared" si="59"/>
        <v>276513.37999999995</v>
      </c>
    </row>
    <row r="1682" spans="1:10" x14ac:dyDescent="0.25">
      <c r="A1682" s="10">
        <v>42266</v>
      </c>
      <c r="B1682" s="11" t="s">
        <v>8</v>
      </c>
      <c r="C1682" s="11" t="s">
        <v>5</v>
      </c>
      <c r="D1682" s="16" t="str">
        <f>HYPERLINK("https://freddywills.com/pick/492/army-6-108.html", "Army +6 -108")</f>
        <v>Army +6 -108</v>
      </c>
      <c r="E1682" s="11">
        <v>2.2000000000000002</v>
      </c>
      <c r="F1682" s="11">
        <v>-1.1000000000000001</v>
      </c>
      <c r="G1682" s="11" t="s">
        <v>4</v>
      </c>
      <c r="H1682" s="13">
        <v>2000</v>
      </c>
      <c r="I1682" s="14">
        <f t="shared" si="58"/>
        <v>9.3731800000000004E-2</v>
      </c>
      <c r="J1682" s="13">
        <f t="shared" si="59"/>
        <v>274240.64999999997</v>
      </c>
    </row>
    <row r="1683" spans="1:10" x14ac:dyDescent="0.25">
      <c r="A1683" s="10">
        <v>42266</v>
      </c>
      <c r="B1683" s="11" t="s">
        <v>8</v>
      </c>
      <c r="C1683" s="11" t="s">
        <v>5</v>
      </c>
      <c r="D1683" s="16" t="str">
        <f>HYPERLINK("https://freddywills.com/pick/493/texas-6-5-101.html", "Texas +6.5 +101")</f>
        <v>Texas +6.5 +101</v>
      </c>
      <c r="E1683" s="11">
        <v>5.5</v>
      </c>
      <c r="F1683" s="11">
        <v>1.01</v>
      </c>
      <c r="G1683" s="11" t="s">
        <v>4</v>
      </c>
      <c r="H1683" s="13">
        <v>5555</v>
      </c>
      <c r="I1683" s="14">
        <f t="shared" si="58"/>
        <v>7.37318E-2</v>
      </c>
      <c r="J1683" s="13">
        <f t="shared" si="59"/>
        <v>272240.64999999997</v>
      </c>
    </row>
    <row r="1684" spans="1:10" x14ac:dyDescent="0.25">
      <c r="A1684" s="10">
        <v>42266</v>
      </c>
      <c r="B1684" s="11" t="s">
        <v>8</v>
      </c>
      <c r="C1684" s="11" t="s">
        <v>5</v>
      </c>
      <c r="D1684" s="16" t="str">
        <f>HYPERLINK("https://freddywills.com/pick/494/smiss-3-3-3.html", "Smiss +3 3.3*")</f>
        <v>Smiss +3 3.3*</v>
      </c>
      <c r="E1684" s="11">
        <v>3.3</v>
      </c>
      <c r="F1684" s="11">
        <v>-1.1000000000000001</v>
      </c>
      <c r="G1684" s="11" t="s">
        <v>4</v>
      </c>
      <c r="H1684" s="13">
        <v>3000</v>
      </c>
      <c r="I1684" s="14">
        <f t="shared" si="58"/>
        <v>1.8181800000000001E-2</v>
      </c>
      <c r="J1684" s="13">
        <f t="shared" si="59"/>
        <v>266685.64999999997</v>
      </c>
    </row>
    <row r="1685" spans="1:10" x14ac:dyDescent="0.25">
      <c r="A1685" s="10">
        <v>42266</v>
      </c>
      <c r="B1685" s="11" t="s">
        <v>8</v>
      </c>
      <c r="C1685" s="11" t="s">
        <v>5</v>
      </c>
      <c r="D1685" s="16" t="str">
        <f>HYPERLINK("https://freddywills.com/pick/495/alabama-6-5.html", "Alabama -6.5")</f>
        <v>Alabama -6.5</v>
      </c>
      <c r="E1685" s="11">
        <v>1.1000000000000001</v>
      </c>
      <c r="F1685" s="11">
        <v>-1.1000000000000001</v>
      </c>
      <c r="G1685" s="11" t="s">
        <v>6</v>
      </c>
      <c r="H1685" s="13">
        <v>-1100</v>
      </c>
      <c r="I1685" s="14">
        <f t="shared" si="58"/>
        <v>-1.1818199999999997E-2</v>
      </c>
      <c r="J1685" s="13">
        <f t="shared" si="59"/>
        <v>263685.64999999997</v>
      </c>
    </row>
    <row r="1686" spans="1:10" x14ac:dyDescent="0.25">
      <c r="A1686" s="10">
        <v>42266</v>
      </c>
      <c r="B1686" s="11" t="s">
        <v>8</v>
      </c>
      <c r="C1686" s="11" t="s">
        <v>7</v>
      </c>
      <c r="D1686" s="16" t="str">
        <f>HYPERLINK("https://freddywills.com/pick/496/bg-memphis-u78.html", "BG / Memphis U78")</f>
        <v>BG / Memphis U78</v>
      </c>
      <c r="E1686" s="11">
        <v>3.3</v>
      </c>
      <c r="F1686" s="11">
        <v>-1.1000000000000001</v>
      </c>
      <c r="G1686" s="11" t="s">
        <v>6</v>
      </c>
      <c r="H1686" s="13">
        <v>-3300</v>
      </c>
      <c r="I1686" s="14">
        <f t="shared" si="58"/>
        <v>-8.181999999999981E-4</v>
      </c>
      <c r="J1686" s="13">
        <f t="shared" si="59"/>
        <v>264785.64999999997</v>
      </c>
    </row>
    <row r="1687" spans="1:10" x14ac:dyDescent="0.25">
      <c r="A1687" s="10">
        <v>42266</v>
      </c>
      <c r="B1687" s="11" t="s">
        <v>8</v>
      </c>
      <c r="C1687" s="11" t="s">
        <v>5</v>
      </c>
      <c r="D1687" s="16" t="str">
        <f>HYPERLINK("https://freddywills.com/pick/497/cmu-7-5-105.html", "CMU +7.5 -105")</f>
        <v>CMU +7.5 -105</v>
      </c>
      <c r="E1687" s="11">
        <v>3.3</v>
      </c>
      <c r="F1687" s="11">
        <v>-1.1000000000000001</v>
      </c>
      <c r="G1687" s="11" t="s">
        <v>4</v>
      </c>
      <c r="H1687" s="13">
        <v>3000</v>
      </c>
      <c r="I1687" s="14">
        <f t="shared" si="58"/>
        <v>3.2181800000000003E-2</v>
      </c>
      <c r="J1687" s="13">
        <f t="shared" si="59"/>
        <v>268085.64999999997</v>
      </c>
    </row>
    <row r="1688" spans="1:10" x14ac:dyDescent="0.25">
      <c r="A1688" s="10">
        <v>42266</v>
      </c>
      <c r="B1688" s="11" t="s">
        <v>8</v>
      </c>
      <c r="C1688" s="11" t="s">
        <v>5</v>
      </c>
      <c r="D1688" s="16" t="str">
        <f>HYPERLINK("https://freddywills.com/pick/498/fresno-state-14.html", "Fresno State +14")</f>
        <v>Fresno State +14</v>
      </c>
      <c r="E1688" s="11">
        <v>2.2000000000000002</v>
      </c>
      <c r="F1688" s="11">
        <v>-1.1000000000000001</v>
      </c>
      <c r="G1688" s="11" t="s">
        <v>6</v>
      </c>
      <c r="H1688" s="13">
        <v>-2200</v>
      </c>
      <c r="I1688" s="14">
        <f t="shared" si="58"/>
        <v>2.1818000000000046E-3</v>
      </c>
      <c r="J1688" s="13">
        <f t="shared" si="59"/>
        <v>265085.64999999997</v>
      </c>
    </row>
    <row r="1689" spans="1:10" x14ac:dyDescent="0.25">
      <c r="A1689" s="10">
        <v>42266</v>
      </c>
      <c r="B1689" s="11" t="s">
        <v>8</v>
      </c>
      <c r="C1689" s="11" t="s">
        <v>5</v>
      </c>
      <c r="D1689" s="16" t="str">
        <f>HYPERLINK("https://freddywills.com/pick/499/odu-18-5-3-3.html", "ODU +18.5 3.3*")</f>
        <v>ODU +18.5 3.3*</v>
      </c>
      <c r="E1689" s="11">
        <v>3.3</v>
      </c>
      <c r="F1689" s="11">
        <v>-1.1000000000000001</v>
      </c>
      <c r="G1689" s="11" t="s">
        <v>6</v>
      </c>
      <c r="H1689" s="13">
        <v>-3300</v>
      </c>
      <c r="I1689" s="14">
        <f t="shared" si="58"/>
        <v>2.4181800000000003E-2</v>
      </c>
      <c r="J1689" s="13">
        <f t="shared" si="59"/>
        <v>267285.64999999997</v>
      </c>
    </row>
    <row r="1690" spans="1:10" x14ac:dyDescent="0.25">
      <c r="A1690" s="10">
        <v>42266</v>
      </c>
      <c r="B1690" s="11" t="s">
        <v>8</v>
      </c>
      <c r="C1690" s="11" t="s">
        <v>5</v>
      </c>
      <c r="D1690" s="16" t="str">
        <f>HYPERLINK("https://freddywills.com/pick/500/auburn-7.html", "Auburn +7")</f>
        <v>Auburn +7</v>
      </c>
      <c r="E1690" s="11">
        <v>3.3</v>
      </c>
      <c r="F1690" s="11">
        <v>-1.1000000000000001</v>
      </c>
      <c r="G1690" s="11" t="s">
        <v>6</v>
      </c>
      <c r="H1690" s="13">
        <v>-3300</v>
      </c>
      <c r="I1690" s="14">
        <f t="shared" si="58"/>
        <v>5.7181800000000005E-2</v>
      </c>
      <c r="J1690" s="13">
        <f t="shared" si="59"/>
        <v>270585.64999999997</v>
      </c>
    </row>
    <row r="1691" spans="1:10" x14ac:dyDescent="0.25">
      <c r="A1691" s="10">
        <v>42264</v>
      </c>
      <c r="B1691" s="11" t="s">
        <v>8</v>
      </c>
      <c r="C1691" s="11" t="s">
        <v>5</v>
      </c>
      <c r="D1691" s="16" t="str">
        <f>HYPERLINK("https://freddywills.com/pick/501/louisville-6-5-5.html", "Louisville +6 5.5*")</f>
        <v>Louisville +6 5.5*</v>
      </c>
      <c r="E1691" s="11">
        <v>5.5</v>
      </c>
      <c r="F1691" s="11">
        <v>-1.1000000000000001</v>
      </c>
      <c r="G1691" s="11" t="s">
        <v>4</v>
      </c>
      <c r="H1691" s="13">
        <v>5000</v>
      </c>
      <c r="I1691" s="14">
        <f t="shared" si="58"/>
        <v>9.0181800000000006E-2</v>
      </c>
      <c r="J1691" s="13">
        <f t="shared" si="59"/>
        <v>273885.64999999997</v>
      </c>
    </row>
    <row r="1692" spans="1:10" x14ac:dyDescent="0.25">
      <c r="A1692" s="10">
        <v>42264</v>
      </c>
      <c r="B1692" s="11" t="s">
        <v>2</v>
      </c>
      <c r="C1692" s="11" t="s">
        <v>5</v>
      </c>
      <c r="D1692" s="16" t="str">
        <f>HYPERLINK("https://freddywills.com/pick/502/broncos-3-105.html", "Broncos +3 +105")</f>
        <v>Broncos +3 +105</v>
      </c>
      <c r="E1692" s="11">
        <v>3</v>
      </c>
      <c r="F1692" s="11">
        <v>1.05</v>
      </c>
      <c r="G1692" s="11" t="s">
        <v>4</v>
      </c>
      <c r="H1692" s="13">
        <v>3150</v>
      </c>
      <c r="I1692" s="14">
        <f t="shared" si="58"/>
        <v>4.0181800000000011E-2</v>
      </c>
      <c r="J1692" s="13">
        <f t="shared" si="59"/>
        <v>268885.64999999997</v>
      </c>
    </row>
    <row r="1693" spans="1:10" x14ac:dyDescent="0.25">
      <c r="A1693" s="10">
        <v>42264</v>
      </c>
      <c r="B1693" s="11" t="s">
        <v>8</v>
      </c>
      <c r="C1693" s="11" t="s">
        <v>18</v>
      </c>
      <c r="D1693" s="16" t="str">
        <f>HYPERLINK("https://freddywills.com/pick/503/louisville-210.html", "Louisville +210")</f>
        <v>Louisville +210</v>
      </c>
      <c r="E1693" s="11">
        <v>1</v>
      </c>
      <c r="F1693" s="11">
        <v>2.1</v>
      </c>
      <c r="G1693" s="11" t="s">
        <v>6</v>
      </c>
      <c r="H1693" s="13">
        <v>-1000</v>
      </c>
      <c r="I1693" s="14">
        <f t="shared" si="58"/>
        <v>8.6818000000000086E-3</v>
      </c>
      <c r="J1693" s="13">
        <f t="shared" si="59"/>
        <v>265735.64999999997</v>
      </c>
    </row>
    <row r="1694" spans="1:10" x14ac:dyDescent="0.25">
      <c r="A1694" s="10">
        <v>42261</v>
      </c>
      <c r="B1694" s="11" t="s">
        <v>2</v>
      </c>
      <c r="C1694" s="11" t="s">
        <v>5</v>
      </c>
      <c r="D1694" s="16" t="str">
        <f>HYPERLINK("https://freddywills.com/pick/505/falcons-3-5.html", "Falcons +3.5")</f>
        <v>Falcons +3.5</v>
      </c>
      <c r="E1694" s="11">
        <v>4.4000000000000004</v>
      </c>
      <c r="F1694" s="11">
        <v>-1.1000000000000001</v>
      </c>
      <c r="G1694" s="11" t="s">
        <v>4</v>
      </c>
      <c r="H1694" s="13">
        <v>4000</v>
      </c>
      <c r="I1694" s="14">
        <f t="shared" si="58"/>
        <v>1.8681800000000009E-2</v>
      </c>
      <c r="J1694" s="13">
        <f t="shared" si="59"/>
        <v>266735.64999999997</v>
      </c>
    </row>
    <row r="1695" spans="1:10" x14ac:dyDescent="0.25">
      <c r="A1695" s="10">
        <v>42261</v>
      </c>
      <c r="B1695" s="11" t="s">
        <v>2</v>
      </c>
      <c r="C1695" s="11" t="s">
        <v>5</v>
      </c>
      <c r="D1695" s="16" t="str">
        <f>HYPERLINK("https://freddywills.com/pick/506/49ers-120.html", "49ERS +120")</f>
        <v>49ERS +120</v>
      </c>
      <c r="E1695" s="11">
        <v>2</v>
      </c>
      <c r="F1695" s="11">
        <v>-1.1000000000000001</v>
      </c>
      <c r="G1695" s="11" t="s">
        <v>4</v>
      </c>
      <c r="H1695" s="13">
        <v>1818.18</v>
      </c>
      <c r="I1695" s="14">
        <f t="shared" si="58"/>
        <v>-2.1318199999999992E-2</v>
      </c>
      <c r="J1695" s="13">
        <f t="shared" si="59"/>
        <v>262735.64999999997</v>
      </c>
    </row>
    <row r="1696" spans="1:10" x14ac:dyDescent="0.25">
      <c r="A1696" s="10">
        <v>42260</v>
      </c>
      <c r="B1696" s="11" t="s">
        <v>2</v>
      </c>
      <c r="C1696" s="11" t="s">
        <v>5</v>
      </c>
      <c r="D1696" s="16" t="str">
        <f>HYPERLINK("https://freddywills.com/pick/507/rams-4-5.html", "Rams +4.5")</f>
        <v>Rams +4.5</v>
      </c>
      <c r="E1696" s="11">
        <v>5.5</v>
      </c>
      <c r="F1696" s="11">
        <v>-1.1000000000000001</v>
      </c>
      <c r="G1696" s="11" t="s">
        <v>4</v>
      </c>
      <c r="H1696" s="13">
        <v>5000</v>
      </c>
      <c r="I1696" s="14">
        <f t="shared" si="58"/>
        <v>-3.9499999999999993E-2</v>
      </c>
      <c r="J1696" s="13">
        <f t="shared" si="59"/>
        <v>260917.46999999997</v>
      </c>
    </row>
    <row r="1697" spans="1:10" x14ac:dyDescent="0.25">
      <c r="A1697" s="10">
        <v>42260</v>
      </c>
      <c r="B1697" s="11" t="s">
        <v>2</v>
      </c>
      <c r="C1697" s="11" t="s">
        <v>5</v>
      </c>
      <c r="D1697" s="16" t="str">
        <f>HYPERLINK("https://freddywills.com/pick/508/jaguars-3-5.html", "Jaguars +3.5")</f>
        <v>Jaguars +3.5</v>
      </c>
      <c r="E1697" s="11">
        <v>1.1000000000000001</v>
      </c>
      <c r="F1697" s="11">
        <v>-1.1000000000000001</v>
      </c>
      <c r="G1697" s="11" t="s">
        <v>6</v>
      </c>
      <c r="H1697" s="13">
        <v>-1100</v>
      </c>
      <c r="I1697" s="14">
        <f t="shared" si="58"/>
        <v>-8.9499999999999996E-2</v>
      </c>
      <c r="J1697" s="13">
        <f t="shared" si="59"/>
        <v>255917.46999999997</v>
      </c>
    </row>
    <row r="1698" spans="1:10" x14ac:dyDescent="0.25">
      <c r="A1698" s="10">
        <v>42260</v>
      </c>
      <c r="B1698" s="11" t="s">
        <v>2</v>
      </c>
      <c r="C1698" s="11" t="s">
        <v>18</v>
      </c>
      <c r="D1698" s="16" t="str">
        <f>HYPERLINK("https://freddywills.com/pick/509/raiders-135-3-play.html", "Raiders +135 3* play")</f>
        <v>Raiders +135 3* play</v>
      </c>
      <c r="E1698" s="11">
        <v>3</v>
      </c>
      <c r="F1698" s="11">
        <v>1.35</v>
      </c>
      <c r="G1698" s="11" t="s">
        <v>6</v>
      </c>
      <c r="H1698" s="13">
        <v>-3000</v>
      </c>
      <c r="I1698" s="14">
        <f t="shared" si="58"/>
        <v>-7.85E-2</v>
      </c>
      <c r="J1698" s="13">
        <f t="shared" si="59"/>
        <v>257017.46999999997</v>
      </c>
    </row>
    <row r="1699" spans="1:10" x14ac:dyDescent="0.25">
      <c r="A1699" s="10">
        <v>42260</v>
      </c>
      <c r="B1699" s="11" t="s">
        <v>2</v>
      </c>
      <c r="C1699" s="11" t="s">
        <v>5</v>
      </c>
      <c r="D1699" s="16" t="str">
        <f>HYPERLINK("https://freddywills.com/pick/510/tb-bucs-2-5.html", "TB Bucs -2.5")</f>
        <v>TB Bucs -2.5</v>
      </c>
      <c r="E1699" s="11">
        <v>2.2000000000000002</v>
      </c>
      <c r="F1699" s="11">
        <v>-1.1000000000000001</v>
      </c>
      <c r="G1699" s="11" t="s">
        <v>6</v>
      </c>
      <c r="H1699" s="13">
        <v>-2200</v>
      </c>
      <c r="I1699" s="14">
        <f t="shared" si="58"/>
        <v>-4.8500000000000001E-2</v>
      </c>
      <c r="J1699" s="13">
        <f t="shared" si="59"/>
        <v>260017.46999999997</v>
      </c>
    </row>
    <row r="1700" spans="1:10" x14ac:dyDescent="0.25">
      <c r="A1700" s="10">
        <v>42259</v>
      </c>
      <c r="B1700" s="11" t="s">
        <v>8</v>
      </c>
      <c r="C1700" s="11" t="s">
        <v>5</v>
      </c>
      <c r="D1700" s="16" t="str">
        <f>HYPERLINK("https://freddywills.com/pick/511/penn-st-20-5-1-1.html", "Penn St -20.5 1.1*")</f>
        <v>Penn St -20.5 1.1*</v>
      </c>
      <c r="E1700" s="11">
        <v>1.1000000000000001</v>
      </c>
      <c r="F1700" s="11">
        <v>-1.1000000000000001</v>
      </c>
      <c r="G1700" s="11" t="s">
        <v>6</v>
      </c>
      <c r="H1700" s="13">
        <v>-1100</v>
      </c>
      <c r="I1700" s="14">
        <f t="shared" si="58"/>
        <v>-2.6499999999999999E-2</v>
      </c>
      <c r="J1700" s="13">
        <f t="shared" si="59"/>
        <v>262217.46999999997</v>
      </c>
    </row>
    <row r="1701" spans="1:10" x14ac:dyDescent="0.25">
      <c r="A1701" s="10">
        <v>42259</v>
      </c>
      <c r="B1701" s="11" t="s">
        <v>8</v>
      </c>
      <c r="C1701" s="11" t="s">
        <v>5</v>
      </c>
      <c r="D1701" s="16" t="str">
        <f>HYPERLINK("https://freddywills.com/pick/512/colorado-state-5-5-5-pod.html", "Colorado State +5 5.5* POD")</f>
        <v>Colorado State +5 5.5* POD</v>
      </c>
      <c r="E1701" s="11">
        <v>5.5</v>
      </c>
      <c r="F1701" s="11">
        <v>-1.1000000000000001</v>
      </c>
      <c r="G1701" s="11" t="s">
        <v>4</v>
      </c>
      <c r="H1701" s="13">
        <v>5000</v>
      </c>
      <c r="I1701" s="14">
        <f t="shared" ref="I1701:I1718" si="60">(H1701/100000)+I1702</f>
        <v>-1.55E-2</v>
      </c>
      <c r="J1701" s="13">
        <f t="shared" ref="J1701:J1719" si="61">H1701+J1702</f>
        <v>263317.46999999997</v>
      </c>
    </row>
    <row r="1702" spans="1:10" x14ac:dyDescent="0.25">
      <c r="A1702" s="10">
        <v>42259</v>
      </c>
      <c r="B1702" s="11" t="s">
        <v>8</v>
      </c>
      <c r="C1702" s="11" t="s">
        <v>10</v>
      </c>
      <c r="D1702" s="16" t="str">
        <f>HYPERLINK("https://freddywills.com/pick/513/indiana-1-5-cinci-0-5-4-4-teaser.html", "Indiana -1.5 / Cinci -0.5 4.4* Teaser")</f>
        <v>Indiana -1.5 / Cinci -0.5 4.4* Teaser</v>
      </c>
      <c r="E1702" s="11">
        <v>4.4000000000000004</v>
      </c>
      <c r="F1702" s="11">
        <v>-1.1000000000000001</v>
      </c>
      <c r="G1702" s="11" t="s">
        <v>6</v>
      </c>
      <c r="H1702" s="13">
        <v>-4400</v>
      </c>
      <c r="I1702" s="14">
        <f t="shared" si="60"/>
        <v>-6.5500000000000003E-2</v>
      </c>
      <c r="J1702" s="13">
        <f t="shared" si="61"/>
        <v>258317.46999999997</v>
      </c>
    </row>
    <row r="1703" spans="1:10" x14ac:dyDescent="0.25">
      <c r="A1703" s="10">
        <v>42259</v>
      </c>
      <c r="B1703" s="11" t="s">
        <v>8</v>
      </c>
      <c r="C1703" s="11" t="s">
        <v>5</v>
      </c>
      <c r="D1703" s="16" t="str">
        <f>HYPERLINK("https://freddywills.com/pick/514/utsa-17-2-75-play.html", "UTSA +17 2.75* PLAY")</f>
        <v>UTSA +17 2.75* PLAY</v>
      </c>
      <c r="E1703" s="11">
        <v>2.75</v>
      </c>
      <c r="F1703" s="11">
        <v>-1.1000000000000001</v>
      </c>
      <c r="G1703" s="11" t="s">
        <v>6</v>
      </c>
      <c r="H1703" s="13">
        <v>-2750</v>
      </c>
      <c r="I1703" s="14">
        <f t="shared" si="60"/>
        <v>-2.1500000000000009E-2</v>
      </c>
      <c r="J1703" s="13">
        <f t="shared" si="61"/>
        <v>262717.46999999997</v>
      </c>
    </row>
    <row r="1704" spans="1:10" x14ac:dyDescent="0.25">
      <c r="A1704" s="10">
        <v>42259</v>
      </c>
      <c r="B1704" s="11" t="s">
        <v>8</v>
      </c>
      <c r="C1704" s="11" t="s">
        <v>5</v>
      </c>
      <c r="D1704" s="16" t="str">
        <f>HYPERLINK("https://freddywills.com/pick/515/tulsa-4.html", "Tulsa +4")</f>
        <v>Tulsa +4</v>
      </c>
      <c r="E1704" s="11">
        <v>3.3</v>
      </c>
      <c r="F1704" s="11">
        <v>-1.1000000000000001</v>
      </c>
      <c r="G1704" s="11" t="s">
        <v>4</v>
      </c>
      <c r="H1704" s="13">
        <v>3000</v>
      </c>
      <c r="I1704" s="14">
        <f t="shared" si="60"/>
        <v>5.9999999999999915E-3</v>
      </c>
      <c r="J1704" s="13">
        <f t="shared" si="61"/>
        <v>265467.46999999997</v>
      </c>
    </row>
    <row r="1705" spans="1:10" x14ac:dyDescent="0.25">
      <c r="A1705" s="10">
        <v>42259</v>
      </c>
      <c r="B1705" s="11" t="s">
        <v>8</v>
      </c>
      <c r="C1705" s="11" t="s">
        <v>5</v>
      </c>
      <c r="D1705" s="16" t="str">
        <f>HYPERLINK("https://freddywills.com/pick/516/ucla-30.html", "UCLA -30")</f>
        <v>UCLA -30</v>
      </c>
      <c r="E1705" s="11">
        <v>3.3</v>
      </c>
      <c r="F1705" s="11">
        <v>-1.1000000000000001</v>
      </c>
      <c r="G1705" s="11" t="s">
        <v>4</v>
      </c>
      <c r="H1705" s="13">
        <v>3000</v>
      </c>
      <c r="I1705" s="14">
        <f t="shared" si="60"/>
        <v>-2.4000000000000007E-2</v>
      </c>
      <c r="J1705" s="13">
        <f t="shared" si="61"/>
        <v>262467.46999999997</v>
      </c>
    </row>
    <row r="1706" spans="1:10" x14ac:dyDescent="0.25">
      <c r="A1706" s="10">
        <v>42259</v>
      </c>
      <c r="B1706" s="11" t="s">
        <v>8</v>
      </c>
      <c r="C1706" s="11" t="s">
        <v>5</v>
      </c>
      <c r="D1706" s="16" t="str">
        <f>HYPERLINK("https://freddywills.com/pick/517/arkansas-st-10-5.html", "Arkansas St +10.5")</f>
        <v>Arkansas St +10.5</v>
      </c>
      <c r="E1706" s="11">
        <v>2.2000000000000002</v>
      </c>
      <c r="F1706" s="11">
        <v>-1.1000000000000001</v>
      </c>
      <c r="G1706" s="11" t="s">
        <v>4</v>
      </c>
      <c r="H1706" s="13">
        <v>2000</v>
      </c>
      <c r="I1706" s="14">
        <f t="shared" si="60"/>
        <v>-5.4000000000000006E-2</v>
      </c>
      <c r="J1706" s="13">
        <f t="shared" si="61"/>
        <v>259467.46999999997</v>
      </c>
    </row>
    <row r="1707" spans="1:10" x14ac:dyDescent="0.25">
      <c r="A1707" s="10">
        <v>42258</v>
      </c>
      <c r="B1707" s="11" t="s">
        <v>8</v>
      </c>
      <c r="C1707" s="11" t="s">
        <v>7</v>
      </c>
      <c r="D1707" s="16" t="str">
        <f>HYPERLINK("https://freddywills.com/pick/518/utah-utahst-u45.html", "UTAH/UTAHST U45")</f>
        <v>UTAH/UTAHST U45</v>
      </c>
      <c r="E1707" s="11">
        <v>1.1000000000000001</v>
      </c>
      <c r="F1707" s="11">
        <v>-1.1000000000000001</v>
      </c>
      <c r="G1707" s="11" t="s">
        <v>4</v>
      </c>
      <c r="H1707" s="13">
        <v>1000</v>
      </c>
      <c r="I1707" s="14">
        <f t="shared" si="60"/>
        <v>-7.400000000000001E-2</v>
      </c>
      <c r="J1707" s="13">
        <f t="shared" si="61"/>
        <v>257467.46999999997</v>
      </c>
    </row>
    <row r="1708" spans="1:10" x14ac:dyDescent="0.25">
      <c r="A1708" s="10">
        <v>42258</v>
      </c>
      <c r="B1708" s="11" t="s">
        <v>8</v>
      </c>
      <c r="C1708" s="11" t="s">
        <v>5</v>
      </c>
      <c r="D1708" s="16" t="str">
        <f>HYPERLINK("https://freddywills.com/pick/519/florida-atlantic-19.html", "Florida Atlantic +19")</f>
        <v>Florida Atlantic +19</v>
      </c>
      <c r="E1708" s="11">
        <v>3.3</v>
      </c>
      <c r="F1708" s="11">
        <v>-1.1000000000000001</v>
      </c>
      <c r="G1708" s="11" t="s">
        <v>6</v>
      </c>
      <c r="H1708" s="13">
        <v>-3300</v>
      </c>
      <c r="I1708" s="14">
        <f t="shared" si="60"/>
        <v>-8.4000000000000005E-2</v>
      </c>
      <c r="J1708" s="13">
        <f t="shared" si="61"/>
        <v>256467.46999999997</v>
      </c>
    </row>
    <row r="1709" spans="1:10" x14ac:dyDescent="0.25">
      <c r="A1709" s="10">
        <v>42257</v>
      </c>
      <c r="B1709" s="11" t="s">
        <v>8</v>
      </c>
      <c r="C1709" s="11" t="s">
        <v>7</v>
      </c>
      <c r="D1709" s="16" t="str">
        <f>HYPERLINK("https://freddywills.com/pick/520/la-tech-wku-o60-5.html", "LA Tech/ WKU O60.5")</f>
        <v>LA Tech/ WKU O60.5</v>
      </c>
      <c r="E1709" s="11">
        <v>3.3</v>
      </c>
      <c r="F1709" s="11">
        <v>-1.1000000000000001</v>
      </c>
      <c r="G1709" s="11" t="s">
        <v>4</v>
      </c>
      <c r="H1709" s="13">
        <v>3000</v>
      </c>
      <c r="I1709" s="14">
        <f t="shared" si="60"/>
        <v>-5.1000000000000004E-2</v>
      </c>
      <c r="J1709" s="13">
        <f t="shared" si="61"/>
        <v>259767.46999999997</v>
      </c>
    </row>
    <row r="1710" spans="1:10" x14ac:dyDescent="0.25">
      <c r="A1710" s="10">
        <v>42257</v>
      </c>
      <c r="B1710" s="11" t="s">
        <v>2</v>
      </c>
      <c r="C1710" s="11" t="s">
        <v>7</v>
      </c>
      <c r="D1710" s="16" t="str">
        <f>HYPERLINK("https://freddywills.com/pick/521/steelers-pats-o50-5.html", "Steelers/Pats O50.5")</f>
        <v>Steelers/Pats O50.5</v>
      </c>
      <c r="E1710" s="11">
        <v>2.2000000000000002</v>
      </c>
      <c r="F1710" s="11">
        <v>-1.1000000000000001</v>
      </c>
      <c r="G1710" s="11" t="s">
        <v>6</v>
      </c>
      <c r="H1710" s="13">
        <v>-2200</v>
      </c>
      <c r="I1710" s="14">
        <f t="shared" si="60"/>
        <v>-8.1000000000000003E-2</v>
      </c>
      <c r="J1710" s="13">
        <f t="shared" si="61"/>
        <v>256767.46999999997</v>
      </c>
    </row>
    <row r="1711" spans="1:10" x14ac:dyDescent="0.25">
      <c r="A1711" s="10">
        <v>42254</v>
      </c>
      <c r="B1711" s="11" t="s">
        <v>8</v>
      </c>
      <c r="C1711" s="11" t="s">
        <v>5</v>
      </c>
      <c r="D1711" s="16" t="str">
        <f>HYPERLINK("https://freddywills.com/pick/522/virginia-tech-14-5-3-3-play.html", "Virginia Tech +14.5 3.3* play")</f>
        <v>Virginia Tech +14.5 3.3* play</v>
      </c>
      <c r="E1711" s="11">
        <v>3.3</v>
      </c>
      <c r="F1711" s="11">
        <v>-1.1000000000000001</v>
      </c>
      <c r="G1711" s="11" t="s">
        <v>6</v>
      </c>
      <c r="H1711" s="13">
        <v>-3300</v>
      </c>
      <c r="I1711" s="14">
        <f t="shared" si="60"/>
        <v>-5.9000000000000004E-2</v>
      </c>
      <c r="J1711" s="13">
        <f t="shared" si="61"/>
        <v>258967.46999999997</v>
      </c>
    </row>
    <row r="1712" spans="1:10" x14ac:dyDescent="0.25">
      <c r="A1712" s="10">
        <v>42253</v>
      </c>
      <c r="B1712" s="11" t="s">
        <v>8</v>
      </c>
      <c r="C1712" s="11" t="s">
        <v>5</v>
      </c>
      <c r="D1712" s="16" t="str">
        <f>HYPERLINK("https://freddywills.com/pick/523/purdue-7-5.html", "Purdue +7.5")</f>
        <v>Purdue +7.5</v>
      </c>
      <c r="E1712" s="11">
        <v>3.3</v>
      </c>
      <c r="F1712" s="11">
        <v>-1.1000000000000001</v>
      </c>
      <c r="G1712" s="11" t="s">
        <v>6</v>
      </c>
      <c r="H1712" s="13">
        <v>-3300</v>
      </c>
      <c r="I1712" s="14">
        <f t="shared" si="60"/>
        <v>-2.6000000000000002E-2</v>
      </c>
      <c r="J1712" s="13">
        <f t="shared" si="61"/>
        <v>262267.46999999997</v>
      </c>
    </row>
    <row r="1713" spans="1:10" x14ac:dyDescent="0.25">
      <c r="A1713" s="10">
        <v>42252</v>
      </c>
      <c r="B1713" s="11" t="s">
        <v>8</v>
      </c>
      <c r="C1713" s="11" t="s">
        <v>5</v>
      </c>
      <c r="D1713" s="16" t="str">
        <f>HYPERLINK("https://freddywills.com/pick/524/fau-6-5.html", "FAU +6.5")</f>
        <v>FAU +6.5</v>
      </c>
      <c r="E1713" s="11">
        <v>1.1000000000000001</v>
      </c>
      <c r="F1713" s="11">
        <v>-1.1000000000000001</v>
      </c>
      <c r="G1713" s="11" t="s">
        <v>4</v>
      </c>
      <c r="H1713" s="13">
        <v>1000</v>
      </c>
      <c r="I1713" s="14">
        <f t="shared" si="60"/>
        <v>6.9999999999999975E-3</v>
      </c>
      <c r="J1713" s="13">
        <f t="shared" si="61"/>
        <v>265567.46999999997</v>
      </c>
    </row>
    <row r="1714" spans="1:10" x14ac:dyDescent="0.25">
      <c r="A1714" s="10">
        <v>42252</v>
      </c>
      <c r="B1714" s="11" t="s">
        <v>8</v>
      </c>
      <c r="C1714" s="11" t="s">
        <v>5</v>
      </c>
      <c r="D1714" s="16" t="str">
        <f>HYPERLINK("https://freddywills.com/pick/525/eastern-mich-5.html", "Eastern Mich +5")</f>
        <v>Eastern Mich +5</v>
      </c>
      <c r="E1714" s="11">
        <v>3.3</v>
      </c>
      <c r="F1714" s="11">
        <v>-1.1000000000000001</v>
      </c>
      <c r="G1714" s="11" t="s">
        <v>4</v>
      </c>
      <c r="H1714" s="13">
        <v>3000</v>
      </c>
      <c r="I1714" s="14">
        <f t="shared" si="60"/>
        <v>-3.0000000000000027E-3</v>
      </c>
      <c r="J1714" s="13">
        <f t="shared" si="61"/>
        <v>264567.46999999997</v>
      </c>
    </row>
    <row r="1715" spans="1:10" x14ac:dyDescent="0.25">
      <c r="A1715" s="10">
        <v>42252</v>
      </c>
      <c r="B1715" s="11" t="s">
        <v>8</v>
      </c>
      <c r="C1715" s="11" t="s">
        <v>10</v>
      </c>
      <c r="D1715" s="16" t="str">
        <f>HYPERLINK("https://freddywills.com/pick/526/penn-st-0-5-u50.html", "Penn St -0.5/U50")</f>
        <v>Penn St -0.5/U50</v>
      </c>
      <c r="E1715" s="11">
        <v>4.4000000000000004</v>
      </c>
      <c r="F1715" s="11">
        <v>-1.1000000000000001</v>
      </c>
      <c r="G1715" s="11" t="s">
        <v>6</v>
      </c>
      <c r="H1715" s="13">
        <v>-4400</v>
      </c>
      <c r="I1715" s="14">
        <f t="shared" si="60"/>
        <v>-3.3000000000000002E-2</v>
      </c>
      <c r="J1715" s="13">
        <f t="shared" si="61"/>
        <v>261567.46999999997</v>
      </c>
    </row>
    <row r="1716" spans="1:10" x14ac:dyDescent="0.25">
      <c r="A1716" s="10">
        <v>42252</v>
      </c>
      <c r="B1716" s="11" t="s">
        <v>8</v>
      </c>
      <c r="C1716" s="11" t="s">
        <v>5</v>
      </c>
      <c r="D1716" s="16" t="str">
        <f>HYPERLINK("https://freddywills.com/pick/527/s-miss-21-5-pod.html", "S. Miss +21.5 POD")</f>
        <v>S. Miss +21.5 POD</v>
      </c>
      <c r="E1716" s="11">
        <v>4.4000000000000004</v>
      </c>
      <c r="F1716" s="11">
        <v>-1.1000000000000001</v>
      </c>
      <c r="G1716" s="11" t="s">
        <v>4</v>
      </c>
      <c r="H1716" s="13">
        <v>4000</v>
      </c>
      <c r="I1716" s="14">
        <f t="shared" si="60"/>
        <v>1.0999999999999996E-2</v>
      </c>
      <c r="J1716" s="13">
        <f t="shared" si="61"/>
        <v>265967.46999999997</v>
      </c>
    </row>
    <row r="1717" spans="1:10" x14ac:dyDescent="0.25">
      <c r="A1717" s="10">
        <v>42252</v>
      </c>
      <c r="B1717" s="11" t="s">
        <v>8</v>
      </c>
      <c r="C1717" s="11" t="s">
        <v>5</v>
      </c>
      <c r="D1717" s="16" t="str">
        <f>HYPERLINK("https://freddywills.com/pick/528/northwestern-12.html", "Northwestern +12")</f>
        <v>Northwestern +12</v>
      </c>
      <c r="E1717" s="11">
        <v>3.3</v>
      </c>
      <c r="F1717" s="11">
        <v>-1.1000000000000001</v>
      </c>
      <c r="G1717" s="11" t="s">
        <v>4</v>
      </c>
      <c r="H1717" s="13">
        <v>3000</v>
      </c>
      <c r="I1717" s="14">
        <f t="shared" si="60"/>
        <v>-2.9000000000000005E-2</v>
      </c>
      <c r="J1717" s="13">
        <f t="shared" si="61"/>
        <v>261967.46999999997</v>
      </c>
    </row>
    <row r="1718" spans="1:10" x14ac:dyDescent="0.25">
      <c r="A1718" s="10">
        <v>42251</v>
      </c>
      <c r="B1718" s="11" t="s">
        <v>8</v>
      </c>
      <c r="C1718" s="11" t="s">
        <v>5</v>
      </c>
      <c r="D1718" s="16" t="str">
        <f>HYPERLINK("https://freddywills.com/pick/529/hawaii-7-5.html", "Hawaii +7.5")</f>
        <v>Hawaii +7.5</v>
      </c>
      <c r="E1718" s="11">
        <v>4.4000000000000004</v>
      </c>
      <c r="F1718" s="11">
        <v>-1.1000000000000001</v>
      </c>
      <c r="G1718" s="11" t="s">
        <v>4</v>
      </c>
      <c r="H1718" s="13">
        <v>4000</v>
      </c>
      <c r="I1718" s="14">
        <f t="shared" si="60"/>
        <v>-5.9000000000000004E-2</v>
      </c>
      <c r="J1718" s="13">
        <f t="shared" si="61"/>
        <v>258967.46999999997</v>
      </c>
    </row>
    <row r="1719" spans="1:10" x14ac:dyDescent="0.25">
      <c r="A1719" s="10">
        <v>42250</v>
      </c>
      <c r="B1719" s="11" t="s">
        <v>8</v>
      </c>
      <c r="C1719" s="11" t="s">
        <v>5</v>
      </c>
      <c r="D1719" s="16" t="str">
        <f>HYPERLINK("https://freddywills.com/pick/530/vanderbilt-pk.html", "Vanderbilt pk")</f>
        <v>Vanderbilt pk</v>
      </c>
      <c r="E1719" s="11">
        <v>3.3</v>
      </c>
      <c r="F1719" s="11">
        <v>-1.1000000000000001</v>
      </c>
      <c r="G1719" s="11" t="s">
        <v>6</v>
      </c>
      <c r="H1719" s="13">
        <v>-3300</v>
      </c>
      <c r="I1719" s="14">
        <f t="shared" ref="I1719:I1721" si="62">(H1719/100000)+I1720</f>
        <v>-9.9000000000000005E-2</v>
      </c>
      <c r="J1719" s="13">
        <f t="shared" si="61"/>
        <v>254967.46999999997</v>
      </c>
    </row>
    <row r="1720" spans="1:10" x14ac:dyDescent="0.25">
      <c r="A1720" s="10">
        <v>42250</v>
      </c>
      <c r="B1720" s="11" t="s">
        <v>8</v>
      </c>
      <c r="C1720" s="11" t="s">
        <v>5</v>
      </c>
      <c r="D1720" s="16" t="str">
        <f>HYPERLINK("https://freddywills.com/pick/531/tulane-7-5.html", "Tulane +7.5")</f>
        <v>Tulane +7.5</v>
      </c>
      <c r="E1720" s="11">
        <v>1.1000000000000001</v>
      </c>
      <c r="F1720" s="11">
        <v>-1.1000000000000001</v>
      </c>
      <c r="G1720" s="11" t="s">
        <v>6</v>
      </c>
      <c r="H1720" s="13">
        <v>-1100</v>
      </c>
      <c r="I1720" s="14">
        <f t="shared" si="62"/>
        <v>-6.6000000000000003E-2</v>
      </c>
      <c r="J1720" s="13">
        <f>H1720+J1721</f>
        <v>258267.46999999997</v>
      </c>
    </row>
    <row r="1721" spans="1:10" x14ac:dyDescent="0.25">
      <c r="A1721" s="10">
        <v>42250</v>
      </c>
      <c r="B1721" s="11" t="s">
        <v>8</v>
      </c>
      <c r="C1721" s="11" t="s">
        <v>5</v>
      </c>
      <c r="D1721" s="16" t="str">
        <f>HYPERLINK("https://freddywills.com/pick/532/michigan-5.html", "Michigan +5")</f>
        <v>Michigan +5</v>
      </c>
      <c r="E1721" s="11">
        <v>5.5</v>
      </c>
      <c r="F1721" s="11">
        <v>-1.1000000000000001</v>
      </c>
      <c r="G1721" s="11" t="s">
        <v>6</v>
      </c>
      <c r="H1721" s="13">
        <v>-5500</v>
      </c>
      <c r="I1721" s="14">
        <f>H1721/100000</f>
        <v>-5.5E-2</v>
      </c>
      <c r="J1721" s="13">
        <f>H1721+J1724</f>
        <v>259367.46999999997</v>
      </c>
    </row>
    <row r="1722" spans="1:10" x14ac:dyDescent="0.25">
      <c r="A1722" s="17" t="s">
        <v>22</v>
      </c>
      <c r="B1722" s="18"/>
      <c r="C1722" s="18"/>
      <c r="D1722" s="18"/>
      <c r="E1722" s="18"/>
      <c r="F1722" s="18"/>
      <c r="G1722" s="18"/>
      <c r="H1722" s="18"/>
      <c r="I1722" s="19">
        <v>100000</v>
      </c>
      <c r="J1722" s="17"/>
    </row>
    <row r="1723" spans="1:10" x14ac:dyDescent="0.25">
      <c r="A1723" s="8" t="s">
        <v>20</v>
      </c>
      <c r="B1723" s="9"/>
      <c r="C1723" s="9"/>
      <c r="D1723" s="9"/>
      <c r="E1723" s="9"/>
      <c r="F1723" s="9"/>
      <c r="G1723" s="9"/>
      <c r="H1723" s="9"/>
      <c r="I1723" s="9"/>
      <c r="J1723" s="9"/>
    </row>
    <row r="1724" spans="1:10" x14ac:dyDescent="0.25">
      <c r="A1724" s="10">
        <v>42036</v>
      </c>
      <c r="B1724" s="11" t="s">
        <v>2</v>
      </c>
      <c r="C1724" s="11" t="s">
        <v>5</v>
      </c>
      <c r="D1724" s="16" t="str">
        <f>HYPERLINK("https://freddywills.com/pick/671/sehawks-2.html", "Sehawks +2")</f>
        <v>Sehawks +2</v>
      </c>
      <c r="E1724" s="11">
        <v>5.5</v>
      </c>
      <c r="F1724" s="11">
        <v>-1.1000000000000001</v>
      </c>
      <c r="G1724" s="11" t="s">
        <v>6</v>
      </c>
      <c r="H1724" s="13">
        <v>-5500</v>
      </c>
      <c r="I1724" s="14">
        <f t="shared" ref="I1724:I1787" si="63">(H1724/100000)+I1725</f>
        <v>0.65755070000000049</v>
      </c>
      <c r="J1724" s="13">
        <f t="shared" ref="J1724:J1787" si="64">H1724+J1725</f>
        <v>264867.46999999997</v>
      </c>
    </row>
    <row r="1725" spans="1:10" x14ac:dyDescent="0.25">
      <c r="A1725" s="10">
        <v>42036</v>
      </c>
      <c r="B1725" s="11" t="s">
        <v>2</v>
      </c>
      <c r="C1725" s="11" t="s">
        <v>10</v>
      </c>
      <c r="D1725" s="16" t="str">
        <f>HYPERLINK("https://freddywills.com/pick/672/sehawks-8-u54-5.html", "Sehawks +8 U54.5")</f>
        <v>Sehawks +8 U54.5</v>
      </c>
      <c r="E1725" s="11">
        <v>4.4000000000000004</v>
      </c>
      <c r="F1725" s="11">
        <v>-1.1000000000000001</v>
      </c>
      <c r="G1725" s="11" t="s">
        <v>4</v>
      </c>
      <c r="H1725" s="13">
        <v>4000</v>
      </c>
      <c r="I1725" s="14">
        <f t="shared" si="63"/>
        <v>0.71255070000000054</v>
      </c>
      <c r="J1725" s="13">
        <f t="shared" si="64"/>
        <v>270367.46999999997</v>
      </c>
    </row>
    <row r="1726" spans="1:10" x14ac:dyDescent="0.25">
      <c r="A1726" s="10">
        <v>42036</v>
      </c>
      <c r="B1726" s="11" t="s">
        <v>2</v>
      </c>
      <c r="C1726" s="11" t="s">
        <v>3</v>
      </c>
      <c r="D1726" s="16" t="str">
        <f>HYPERLINK("https://freddywills.com/pick/673/u44-5-yds-longest-fg.html", "U44.5 yds Longest FG")</f>
        <v>U44.5 yds Longest FG</v>
      </c>
      <c r="E1726" s="11">
        <v>2.2000000000000002</v>
      </c>
      <c r="F1726" s="11">
        <v>-1.1000000000000001</v>
      </c>
      <c r="G1726" s="11" t="s">
        <v>4</v>
      </c>
      <c r="H1726" s="13">
        <v>2000</v>
      </c>
      <c r="I1726" s="14">
        <f t="shared" si="63"/>
        <v>0.6725507000000005</v>
      </c>
      <c r="J1726" s="13">
        <f t="shared" si="64"/>
        <v>266367.46999999997</v>
      </c>
    </row>
    <row r="1727" spans="1:10" x14ac:dyDescent="0.25">
      <c r="A1727" s="10">
        <v>42036</v>
      </c>
      <c r="B1727" s="11" t="s">
        <v>2</v>
      </c>
      <c r="C1727" s="11" t="s">
        <v>3</v>
      </c>
      <c r="D1727" s="16" t="str">
        <f>HYPERLINK("https://freddywills.com/pick/674/fg-1st-point-125.html", "FG 1st point +125")</f>
        <v>FG 1st point +125</v>
      </c>
      <c r="E1727" s="11">
        <v>1</v>
      </c>
      <c r="F1727" s="11">
        <v>-1.1000000000000001</v>
      </c>
      <c r="G1727" s="11" t="s">
        <v>6</v>
      </c>
      <c r="H1727" s="13">
        <v>-1000</v>
      </c>
      <c r="I1727" s="14">
        <f t="shared" si="63"/>
        <v>0.65255070000000048</v>
      </c>
      <c r="J1727" s="13">
        <f t="shared" si="64"/>
        <v>264367.46999999997</v>
      </c>
    </row>
    <row r="1728" spans="1:10" x14ac:dyDescent="0.25">
      <c r="A1728" s="10">
        <v>42036</v>
      </c>
      <c r="B1728" s="11" t="s">
        <v>2</v>
      </c>
      <c r="C1728" s="11" t="s">
        <v>3</v>
      </c>
      <c r="D1728" s="16" t="str">
        <f>HYPERLINK("https://freddywills.com/pick/675/blount-u62-5-130.html", "Blount U62.5 -130")</f>
        <v>Blount U62.5 -130</v>
      </c>
      <c r="E1728" s="11">
        <v>2</v>
      </c>
      <c r="F1728" s="11">
        <v>-1.1000000000000001</v>
      </c>
      <c r="G1728" s="11" t="s">
        <v>4</v>
      </c>
      <c r="H1728" s="13">
        <v>1540</v>
      </c>
      <c r="I1728" s="14">
        <f t="shared" si="63"/>
        <v>0.66255070000000049</v>
      </c>
      <c r="J1728" s="13">
        <f t="shared" si="64"/>
        <v>265367.46999999997</v>
      </c>
    </row>
    <row r="1729" spans="1:10" x14ac:dyDescent="0.25">
      <c r="A1729" s="10">
        <v>42036</v>
      </c>
      <c r="B1729" s="11" t="s">
        <v>2</v>
      </c>
      <c r="C1729" s="11" t="s">
        <v>3</v>
      </c>
      <c r="D1729" s="16" t="str">
        <f>HYPERLINK("https://freddywills.com/pick/676/lafell-u18-5-yds-longest-rec.html", "Lafell U18.5 yds longest rec")</f>
        <v>Lafell U18.5 yds longest rec</v>
      </c>
      <c r="E1729" s="11">
        <v>1</v>
      </c>
      <c r="F1729" s="11">
        <v>-1.1000000000000001</v>
      </c>
      <c r="G1729" s="11" t="s">
        <v>4</v>
      </c>
      <c r="H1729" s="13">
        <v>870</v>
      </c>
      <c r="I1729" s="14">
        <f t="shared" si="63"/>
        <v>0.64715070000000052</v>
      </c>
      <c r="J1729" s="13">
        <f t="shared" si="64"/>
        <v>263827.46999999997</v>
      </c>
    </row>
    <row r="1730" spans="1:10" x14ac:dyDescent="0.25">
      <c r="A1730" s="10">
        <v>42036</v>
      </c>
      <c r="B1730" s="11" t="s">
        <v>2</v>
      </c>
      <c r="C1730" s="11" t="s">
        <v>3</v>
      </c>
      <c r="D1730" s="16" t="str">
        <f>HYPERLINK("https://freddywills.com/pick/677/luke-wilson-o2-5-rec.html", "Luke Wilson O2.5 rec")</f>
        <v>Luke Wilson O2.5 rec</v>
      </c>
      <c r="E1730" s="11">
        <v>3</v>
      </c>
      <c r="F1730" s="11">
        <v>-1.1000000000000001</v>
      </c>
      <c r="G1730" s="11" t="s">
        <v>6</v>
      </c>
      <c r="H1730" s="13">
        <v>-3000</v>
      </c>
      <c r="I1730" s="14">
        <f t="shared" si="63"/>
        <v>0.63845070000000048</v>
      </c>
      <c r="J1730" s="13">
        <f t="shared" si="64"/>
        <v>262957.46999999997</v>
      </c>
    </row>
    <row r="1731" spans="1:10" x14ac:dyDescent="0.25">
      <c r="A1731" s="10">
        <v>42036</v>
      </c>
      <c r="B1731" s="11" t="s">
        <v>2</v>
      </c>
      <c r="C1731" s="11" t="s">
        <v>3</v>
      </c>
      <c r="D1731" s="16" t="str">
        <f>HYPERLINK("https://freddywills.com/pick/678/brady-u266-5yds.html", "Brady U266.5yds")</f>
        <v>Brady U266.5yds</v>
      </c>
      <c r="E1731" s="11">
        <v>3.3</v>
      </c>
      <c r="F1731" s="11">
        <v>-1.1000000000000001</v>
      </c>
      <c r="G1731" s="11" t="s">
        <v>6</v>
      </c>
      <c r="H1731" s="13">
        <v>-3300</v>
      </c>
      <c r="I1731" s="14">
        <f t="shared" si="63"/>
        <v>0.66845070000000051</v>
      </c>
      <c r="J1731" s="13">
        <f t="shared" si="64"/>
        <v>265957.46999999997</v>
      </c>
    </row>
    <row r="1732" spans="1:10" x14ac:dyDescent="0.25">
      <c r="A1732" s="10">
        <v>42022</v>
      </c>
      <c r="B1732" s="11" t="s">
        <v>2</v>
      </c>
      <c r="C1732" s="11" t="s">
        <v>5</v>
      </c>
      <c r="D1732" s="16" t="str">
        <f>HYPERLINK("https://freddywills.com/pick/701/seahawks-7.html", "Seahawks -7")</f>
        <v>Seahawks -7</v>
      </c>
      <c r="E1732" s="11">
        <v>5.5</v>
      </c>
      <c r="F1732" s="11">
        <v>-1.1000000000000001</v>
      </c>
      <c r="G1732" s="11" t="s">
        <v>6</v>
      </c>
      <c r="H1732" s="13">
        <v>-5500</v>
      </c>
      <c r="I1732" s="14">
        <f t="shared" si="63"/>
        <v>0.70145070000000054</v>
      </c>
      <c r="J1732" s="13">
        <f t="shared" si="64"/>
        <v>269257.46999999997</v>
      </c>
    </row>
    <row r="1733" spans="1:10" x14ac:dyDescent="0.25">
      <c r="A1733" s="10">
        <v>42022</v>
      </c>
      <c r="B1733" s="11" t="s">
        <v>2</v>
      </c>
      <c r="C1733" s="11" t="s">
        <v>5</v>
      </c>
      <c r="D1733" s="16" t="str">
        <f>HYPERLINK("https://freddywills.com/pick/702/colts-7.html", "Colts +7")</f>
        <v>Colts +7</v>
      </c>
      <c r="E1733" s="11">
        <v>3.3</v>
      </c>
      <c r="F1733" s="11">
        <v>-1.1000000000000001</v>
      </c>
      <c r="G1733" s="11" t="s">
        <v>6</v>
      </c>
      <c r="H1733" s="13">
        <v>-3300</v>
      </c>
      <c r="I1733" s="14">
        <f t="shared" si="63"/>
        <v>0.75645070000000059</v>
      </c>
      <c r="J1733" s="13">
        <f t="shared" si="64"/>
        <v>274757.46999999997</v>
      </c>
    </row>
    <row r="1734" spans="1:10" x14ac:dyDescent="0.25">
      <c r="A1734" s="10">
        <v>42016</v>
      </c>
      <c r="B1734" s="11" t="s">
        <v>8</v>
      </c>
      <c r="C1734" s="11" t="s">
        <v>18</v>
      </c>
      <c r="D1734" s="16" t="str">
        <f>HYPERLINK("https://freddywills.com/pick/710/ohio-state-185.html", "Ohio State +185")</f>
        <v>Ohio State +185</v>
      </c>
      <c r="E1734" s="11">
        <v>2</v>
      </c>
      <c r="F1734" s="11">
        <v>1.85</v>
      </c>
      <c r="G1734" s="11" t="s">
        <v>4</v>
      </c>
      <c r="H1734" s="13">
        <v>3700</v>
      </c>
      <c r="I1734" s="14">
        <f t="shared" si="63"/>
        <v>0.78945070000000062</v>
      </c>
      <c r="J1734" s="13">
        <f t="shared" si="64"/>
        <v>278057.46999999997</v>
      </c>
    </row>
    <row r="1735" spans="1:10" x14ac:dyDescent="0.25">
      <c r="A1735" s="10">
        <v>42016</v>
      </c>
      <c r="B1735" s="11" t="s">
        <v>8</v>
      </c>
      <c r="C1735" s="11" t="s">
        <v>5</v>
      </c>
      <c r="D1735" s="16" t="str">
        <f>HYPERLINK("https://freddywills.com/pick/711/ohio-state-7.html", "Ohio State +7")</f>
        <v>Ohio State +7</v>
      </c>
      <c r="E1735" s="11">
        <v>5.5</v>
      </c>
      <c r="F1735" s="11">
        <v>-1.1000000000000001</v>
      </c>
      <c r="G1735" s="11" t="s">
        <v>4</v>
      </c>
      <c r="H1735" s="13">
        <v>5000</v>
      </c>
      <c r="I1735" s="14">
        <f t="shared" si="63"/>
        <v>0.75245070000000058</v>
      </c>
      <c r="J1735" s="13">
        <f t="shared" si="64"/>
        <v>274357.46999999997</v>
      </c>
    </row>
    <row r="1736" spans="1:10" x14ac:dyDescent="0.25">
      <c r="A1736" s="10">
        <v>42015</v>
      </c>
      <c r="B1736" s="11" t="s">
        <v>2</v>
      </c>
      <c r="C1736" s="11" t="s">
        <v>10</v>
      </c>
      <c r="D1736" s="16" t="str">
        <f>HYPERLINK("https://freddywills.com/pick/712/colts-14-5-o47-5.html", "Colts +14.5/ O47.5")</f>
        <v>Colts +14.5/ O47.5</v>
      </c>
      <c r="E1736" s="11">
        <v>3.3</v>
      </c>
      <c r="F1736" s="11">
        <v>-1.1000000000000001</v>
      </c>
      <c r="G1736" s="11" t="s">
        <v>6</v>
      </c>
      <c r="H1736" s="13">
        <v>-3300</v>
      </c>
      <c r="I1736" s="14">
        <f t="shared" si="63"/>
        <v>0.70245070000000054</v>
      </c>
      <c r="J1736" s="13">
        <f t="shared" si="64"/>
        <v>269357.46999999997</v>
      </c>
    </row>
    <row r="1737" spans="1:10" x14ac:dyDescent="0.25">
      <c r="A1737" s="10">
        <v>42015</v>
      </c>
      <c r="B1737" s="11" t="s">
        <v>2</v>
      </c>
      <c r="C1737" s="11" t="s">
        <v>5</v>
      </c>
      <c r="D1737" s="16" t="str">
        <f>HYPERLINK("https://freddywills.com/pick/713/cowboys-5.html", "Cowboys +5")</f>
        <v>Cowboys +5</v>
      </c>
      <c r="E1737" s="11">
        <v>5.5</v>
      </c>
      <c r="F1737" s="11">
        <v>-1.1000000000000001</v>
      </c>
      <c r="G1737" s="11" t="s">
        <v>9</v>
      </c>
      <c r="H1737" s="13">
        <v>0</v>
      </c>
      <c r="I1737" s="14">
        <f t="shared" si="63"/>
        <v>0.73545070000000057</v>
      </c>
      <c r="J1737" s="13">
        <f t="shared" si="64"/>
        <v>272657.46999999997</v>
      </c>
    </row>
    <row r="1738" spans="1:10" x14ac:dyDescent="0.25">
      <c r="A1738" s="10">
        <v>42014</v>
      </c>
      <c r="B1738" s="11" t="s">
        <v>2</v>
      </c>
      <c r="C1738" s="11" t="s">
        <v>5</v>
      </c>
      <c r="D1738" s="16" t="str">
        <f>HYPERLINK("https://freddywills.com/pick/716/ravens-7-5.html", "Ravens +7.5")</f>
        <v>Ravens +7.5</v>
      </c>
      <c r="E1738" s="11">
        <v>5.5</v>
      </c>
      <c r="F1738" s="11">
        <v>-1.1000000000000001</v>
      </c>
      <c r="G1738" s="11" t="s">
        <v>4</v>
      </c>
      <c r="H1738" s="13">
        <v>5000</v>
      </c>
      <c r="I1738" s="14">
        <f t="shared" si="63"/>
        <v>0.73545070000000057</v>
      </c>
      <c r="J1738" s="13">
        <f t="shared" si="64"/>
        <v>272657.46999999997</v>
      </c>
    </row>
    <row r="1739" spans="1:10" x14ac:dyDescent="0.25">
      <c r="A1739" s="10">
        <v>42014</v>
      </c>
      <c r="B1739" s="11" t="s">
        <v>2</v>
      </c>
      <c r="C1739" s="11" t="s">
        <v>7</v>
      </c>
      <c r="D1739" s="16" t="str">
        <f>HYPERLINK("https://freddywills.com/pick/717/sea-car-u40.html", "Sea/Car U40")</f>
        <v>Sea/Car U40</v>
      </c>
      <c r="E1739" s="11">
        <v>3.3</v>
      </c>
      <c r="F1739" s="11">
        <v>-1.1000000000000001</v>
      </c>
      <c r="G1739" s="11" t="s">
        <v>6</v>
      </c>
      <c r="H1739" s="13">
        <v>-3300</v>
      </c>
      <c r="I1739" s="14">
        <f t="shared" si="63"/>
        <v>0.68545070000000052</v>
      </c>
      <c r="J1739" s="13">
        <f t="shared" si="64"/>
        <v>267657.46999999997</v>
      </c>
    </row>
    <row r="1740" spans="1:10" x14ac:dyDescent="0.25">
      <c r="A1740" s="10">
        <v>42008</v>
      </c>
      <c r="B1740" s="11" t="s">
        <v>2</v>
      </c>
      <c r="C1740" s="11" t="s">
        <v>5</v>
      </c>
      <c r="D1740" s="16" t="str">
        <f>HYPERLINK("https://freddywills.com/pick/726/lions-7.html", "Lions +7")</f>
        <v>Lions +7</v>
      </c>
      <c r="E1740" s="11">
        <v>5.5</v>
      </c>
      <c r="F1740" s="11">
        <v>-1.1000000000000001</v>
      </c>
      <c r="G1740" s="11" t="s">
        <v>4</v>
      </c>
      <c r="H1740" s="13">
        <v>5000</v>
      </c>
      <c r="I1740" s="14">
        <f t="shared" si="63"/>
        <v>0.71845070000000055</v>
      </c>
      <c r="J1740" s="13">
        <f t="shared" si="64"/>
        <v>270957.46999999997</v>
      </c>
    </row>
    <row r="1741" spans="1:10" x14ac:dyDescent="0.25">
      <c r="A1741" s="10">
        <v>42008</v>
      </c>
      <c r="B1741" s="11" t="s">
        <v>8</v>
      </c>
      <c r="C1741" s="11" t="s">
        <v>5</v>
      </c>
      <c r="D1741" s="16" t="str">
        <f>HYPERLINK("https://freddywills.com/pick/727/arkansas-state-3-5.html", "Arkansas State +3.5")</f>
        <v>Arkansas State +3.5</v>
      </c>
      <c r="E1741" s="11">
        <v>4.4000000000000004</v>
      </c>
      <c r="F1741" s="11">
        <v>-1.1000000000000001</v>
      </c>
      <c r="G1741" s="11" t="s">
        <v>6</v>
      </c>
      <c r="H1741" s="13">
        <v>-4400</v>
      </c>
      <c r="I1741" s="14">
        <f t="shared" si="63"/>
        <v>0.66845070000000051</v>
      </c>
      <c r="J1741" s="13">
        <f t="shared" si="64"/>
        <v>265957.46999999997</v>
      </c>
    </row>
    <row r="1742" spans="1:10" x14ac:dyDescent="0.25">
      <c r="A1742" s="10">
        <v>42007</v>
      </c>
      <c r="B1742" s="11" t="s">
        <v>8</v>
      </c>
      <c r="C1742" s="11" t="s">
        <v>18</v>
      </c>
      <c r="D1742" s="16" t="str">
        <f>HYPERLINK("https://freddywills.com/pick/728/east-carolina-248.html", "East Carolina +248")</f>
        <v>East Carolina +248</v>
      </c>
      <c r="E1742" s="11">
        <v>2.5</v>
      </c>
      <c r="F1742" s="11">
        <v>2.48</v>
      </c>
      <c r="G1742" s="11" t="s">
        <v>6</v>
      </c>
      <c r="H1742" s="13">
        <v>-2500</v>
      </c>
      <c r="I1742" s="14">
        <f t="shared" si="63"/>
        <v>0.71245070000000055</v>
      </c>
      <c r="J1742" s="13">
        <f t="shared" si="64"/>
        <v>270357.46999999997</v>
      </c>
    </row>
    <row r="1743" spans="1:10" x14ac:dyDescent="0.25">
      <c r="A1743" s="10">
        <v>42007</v>
      </c>
      <c r="B1743" s="11" t="s">
        <v>2</v>
      </c>
      <c r="C1743" s="11" t="s">
        <v>5</v>
      </c>
      <c r="D1743" s="16" t="str">
        <f>HYPERLINK("https://freddywills.com/pick/729/cardinals-7-115.html", "Cardinals +7 -115")</f>
        <v>Cardinals +7 -115</v>
      </c>
      <c r="E1743" s="11">
        <v>5.5</v>
      </c>
      <c r="F1743" s="11">
        <v>-1.1499999999999999</v>
      </c>
      <c r="G1743" s="11" t="s">
        <v>6</v>
      </c>
      <c r="H1743" s="13">
        <v>-5500</v>
      </c>
      <c r="I1743" s="14">
        <f t="shared" si="63"/>
        <v>0.73745070000000057</v>
      </c>
      <c r="J1743" s="13">
        <f t="shared" si="64"/>
        <v>272857.46999999997</v>
      </c>
    </row>
    <row r="1744" spans="1:10" x14ac:dyDescent="0.25">
      <c r="A1744" s="10">
        <v>42007</v>
      </c>
      <c r="B1744" s="11" t="s">
        <v>2</v>
      </c>
      <c r="C1744" s="11" t="s">
        <v>7</v>
      </c>
      <c r="D1744" s="16" t="str">
        <f>HYPERLINK("https://freddywills.com/pick/730/ravens-steelers-o45.html", "Ravens/Steelers O45")</f>
        <v>Ravens/Steelers O45</v>
      </c>
      <c r="E1744" s="11">
        <v>3.3</v>
      </c>
      <c r="F1744" s="11">
        <v>-1.1000000000000001</v>
      </c>
      <c r="G1744" s="11" t="s">
        <v>4</v>
      </c>
      <c r="H1744" s="13">
        <v>3000</v>
      </c>
      <c r="I1744" s="14">
        <f t="shared" si="63"/>
        <v>0.79245070000000062</v>
      </c>
      <c r="J1744" s="13">
        <f t="shared" si="64"/>
        <v>278357.46999999997</v>
      </c>
    </row>
    <row r="1745" spans="1:10" x14ac:dyDescent="0.25">
      <c r="A1745" s="10">
        <v>42006</v>
      </c>
      <c r="B1745" s="11" t="s">
        <v>8</v>
      </c>
      <c r="C1745" s="11" t="s">
        <v>5</v>
      </c>
      <c r="D1745" s="16" t="str">
        <f>HYPERLINK("https://freddywills.com/pick/731/houston-4-5.html", "Houston +4.5")</f>
        <v>Houston +4.5</v>
      </c>
      <c r="E1745" s="11">
        <v>1.1000000000000001</v>
      </c>
      <c r="F1745" s="11">
        <v>-1.1000000000000001</v>
      </c>
      <c r="G1745" s="11" t="s">
        <v>4</v>
      </c>
      <c r="H1745" s="13">
        <v>1000</v>
      </c>
      <c r="I1745" s="14">
        <f t="shared" si="63"/>
        <v>0.76245070000000059</v>
      </c>
      <c r="J1745" s="13">
        <f t="shared" si="64"/>
        <v>275357.46999999997</v>
      </c>
    </row>
    <row r="1746" spans="1:10" x14ac:dyDescent="0.25">
      <c r="A1746" s="10">
        <v>42005</v>
      </c>
      <c r="B1746" s="11" t="s">
        <v>8</v>
      </c>
      <c r="C1746" s="11" t="s">
        <v>5</v>
      </c>
      <c r="D1746" s="16" t="str">
        <f>HYPERLINK("https://freddywills.com/pick/732/ole-miss-3-5.html", "Ole Miss +3.5")</f>
        <v>Ole Miss +3.5</v>
      </c>
      <c r="E1746" s="11">
        <v>4.4000000000000004</v>
      </c>
      <c r="F1746" s="11">
        <v>-1.1000000000000001</v>
      </c>
      <c r="G1746" s="11" t="s">
        <v>6</v>
      </c>
      <c r="H1746" s="13">
        <v>-4400</v>
      </c>
      <c r="I1746" s="14">
        <f t="shared" si="63"/>
        <v>0.75245070000000058</v>
      </c>
      <c r="J1746" s="13">
        <f t="shared" si="64"/>
        <v>274357.46999999997</v>
      </c>
    </row>
    <row r="1747" spans="1:10" x14ac:dyDescent="0.25">
      <c r="A1747" s="10">
        <v>42005</v>
      </c>
      <c r="B1747" s="11" t="s">
        <v>8</v>
      </c>
      <c r="C1747" s="11" t="s">
        <v>7</v>
      </c>
      <c r="D1747" s="16" t="str">
        <f>HYPERLINK("https://freddywills.com/pick/733/miss-tcu-u56.html", "Miss/TCU U56")</f>
        <v>Miss/TCU U56</v>
      </c>
      <c r="E1747" s="11">
        <v>2.2000000000000002</v>
      </c>
      <c r="F1747" s="11">
        <v>-1.1000000000000001</v>
      </c>
      <c r="G1747" s="11" t="s">
        <v>4</v>
      </c>
      <c r="H1747" s="13">
        <v>2000</v>
      </c>
      <c r="I1747" s="14">
        <f t="shared" si="63"/>
        <v>0.79645070000000062</v>
      </c>
      <c r="J1747" s="13">
        <f t="shared" si="64"/>
        <v>278757.46999999997</v>
      </c>
    </row>
    <row r="1748" spans="1:10" x14ac:dyDescent="0.25">
      <c r="A1748" s="10">
        <v>42005</v>
      </c>
      <c r="B1748" s="11" t="s">
        <v>8</v>
      </c>
      <c r="C1748" s="11" t="s">
        <v>5</v>
      </c>
      <c r="D1748" s="16" t="str">
        <f>HYPERLINK("https://freddywills.com/pick/734/arizona-3.html", "Arizona -3")</f>
        <v>Arizona -3</v>
      </c>
      <c r="E1748" s="11">
        <v>2.2000000000000002</v>
      </c>
      <c r="F1748" s="11">
        <v>-1.1000000000000001</v>
      </c>
      <c r="G1748" s="11" t="s">
        <v>6</v>
      </c>
      <c r="H1748" s="13">
        <v>-2200</v>
      </c>
      <c r="I1748" s="14">
        <f t="shared" si="63"/>
        <v>0.7764507000000006</v>
      </c>
      <c r="J1748" s="13">
        <f t="shared" si="64"/>
        <v>276757.46999999997</v>
      </c>
    </row>
    <row r="1749" spans="1:10" x14ac:dyDescent="0.25">
      <c r="A1749" s="10">
        <v>42005</v>
      </c>
      <c r="B1749" s="11" t="s">
        <v>8</v>
      </c>
      <c r="C1749" s="11" t="s">
        <v>5</v>
      </c>
      <c r="D1749" s="16" t="str">
        <f>HYPERLINK("https://freddywills.com/pick/735/wisconsin-7-120.html", "Wisconsin +7 -120")</f>
        <v>Wisconsin +7 -120</v>
      </c>
      <c r="E1749" s="11">
        <v>4</v>
      </c>
      <c r="F1749" s="11">
        <v>-1.2</v>
      </c>
      <c r="G1749" s="11" t="s">
        <v>4</v>
      </c>
      <c r="H1749" s="13">
        <v>3333.33</v>
      </c>
      <c r="I1749" s="14">
        <f t="shared" si="63"/>
        <v>0.79845070000000062</v>
      </c>
      <c r="J1749" s="13">
        <f t="shared" si="64"/>
        <v>278957.46999999997</v>
      </c>
    </row>
    <row r="1750" spans="1:10" x14ac:dyDescent="0.25">
      <c r="A1750" s="10">
        <v>42005</v>
      </c>
      <c r="B1750" s="11" t="s">
        <v>8</v>
      </c>
      <c r="C1750" s="11" t="s">
        <v>10</v>
      </c>
      <c r="D1750" s="16" t="str">
        <f>HYPERLINK("https://freddywills.com/pick/736/miss-st-1-mich-st-8-5.html", "Miss St -1 / Mich St +8.5")</f>
        <v>Miss St -1 / Mich St +8.5</v>
      </c>
      <c r="E1750" s="11">
        <v>4.4000000000000004</v>
      </c>
      <c r="F1750" s="11">
        <v>-1.1000000000000001</v>
      </c>
      <c r="G1750" s="11" t="s">
        <v>6</v>
      </c>
      <c r="H1750" s="13">
        <v>-4400</v>
      </c>
      <c r="I1750" s="14">
        <f t="shared" si="63"/>
        <v>0.76511740000000061</v>
      </c>
      <c r="J1750" s="13">
        <f t="shared" si="64"/>
        <v>275624.13999999996</v>
      </c>
    </row>
    <row r="1751" spans="1:10" x14ac:dyDescent="0.25">
      <c r="A1751" s="10">
        <v>42005</v>
      </c>
      <c r="B1751" s="11" t="s">
        <v>8</v>
      </c>
      <c r="C1751" s="11" t="s">
        <v>5</v>
      </c>
      <c r="D1751" s="16" t="str">
        <f>HYPERLINK("https://freddywills.com/pick/737/florida-st-8.html", "Florida St +8")</f>
        <v>Florida St +8</v>
      </c>
      <c r="E1751" s="11">
        <v>5.5</v>
      </c>
      <c r="F1751" s="11">
        <v>-1.1000000000000001</v>
      </c>
      <c r="G1751" s="11" t="s">
        <v>6</v>
      </c>
      <c r="H1751" s="13">
        <v>-5500</v>
      </c>
      <c r="I1751" s="14">
        <f t="shared" si="63"/>
        <v>0.80911740000000065</v>
      </c>
      <c r="J1751" s="13">
        <f t="shared" si="64"/>
        <v>280024.13999999996</v>
      </c>
    </row>
    <row r="1752" spans="1:10" x14ac:dyDescent="0.25">
      <c r="A1752" s="10">
        <v>42005</v>
      </c>
      <c r="B1752" s="11" t="s">
        <v>8</v>
      </c>
      <c r="C1752" s="11" t="s">
        <v>5</v>
      </c>
      <c r="D1752" s="16" t="str">
        <f>HYPERLINK("https://freddywills.com/pick/738/ohio-state-8.html", "Ohio State +8")</f>
        <v>Ohio State +8</v>
      </c>
      <c r="E1752" s="11">
        <v>2.2000000000000002</v>
      </c>
      <c r="F1752" s="11">
        <v>-1.1000000000000001</v>
      </c>
      <c r="G1752" s="11" t="s">
        <v>4</v>
      </c>
      <c r="H1752" s="13">
        <v>2000</v>
      </c>
      <c r="I1752" s="14">
        <f t="shared" si="63"/>
        <v>0.8641174000000007</v>
      </c>
      <c r="J1752" s="13">
        <f t="shared" si="64"/>
        <v>285524.13999999996</v>
      </c>
    </row>
    <row r="1753" spans="1:10" x14ac:dyDescent="0.25">
      <c r="A1753" s="10">
        <v>42003</v>
      </c>
      <c r="B1753" s="11" t="s">
        <v>8</v>
      </c>
      <c r="C1753" s="11" t="s">
        <v>7</v>
      </c>
      <c r="D1753" s="16" t="str">
        <f>HYPERLINK("https://freddywills.com/pick/739/lsu-notre-dame-u52-5.html", "LSU/Notre Dame U52.5")</f>
        <v>LSU/Notre Dame U52.5</v>
      </c>
      <c r="E1753" s="11">
        <v>4.4000000000000004</v>
      </c>
      <c r="F1753" s="11">
        <v>-1.1000000000000001</v>
      </c>
      <c r="G1753" s="11" t="s">
        <v>6</v>
      </c>
      <c r="H1753" s="13">
        <v>-4400</v>
      </c>
      <c r="I1753" s="14">
        <f t="shared" si="63"/>
        <v>0.84411740000000068</v>
      </c>
      <c r="J1753" s="13">
        <f t="shared" si="64"/>
        <v>283524.13999999996</v>
      </c>
    </row>
    <row r="1754" spans="1:10" x14ac:dyDescent="0.25">
      <c r="A1754" s="10">
        <v>42003</v>
      </c>
      <c r="B1754" s="11" t="s">
        <v>8</v>
      </c>
      <c r="C1754" s="11" t="s">
        <v>10</v>
      </c>
      <c r="D1754" s="16" t="str">
        <f>HYPERLINK("https://freddywills.com/pick/740/georgia-1-arkansas-1.html", "Georgia -1 / Arkansas -1")</f>
        <v>Georgia -1 / Arkansas -1</v>
      </c>
      <c r="E1754" s="11">
        <v>4.4000000000000004</v>
      </c>
      <c r="F1754" s="11">
        <v>-1.1000000000000001</v>
      </c>
      <c r="G1754" s="11" t="s">
        <v>4</v>
      </c>
      <c r="H1754" s="13">
        <v>4000</v>
      </c>
      <c r="I1754" s="14">
        <f t="shared" si="63"/>
        <v>0.88811740000000072</v>
      </c>
      <c r="J1754" s="13">
        <f t="shared" si="64"/>
        <v>287924.13999999996</v>
      </c>
    </row>
    <row r="1755" spans="1:10" x14ac:dyDescent="0.25">
      <c r="A1755" s="10">
        <v>42002</v>
      </c>
      <c r="B1755" s="11" t="s">
        <v>8</v>
      </c>
      <c r="C1755" s="11" t="s">
        <v>5</v>
      </c>
      <c r="D1755" s="16" t="str">
        <f>HYPERLINK("https://freddywills.com/pick/741/texas-a-amp-m-1-5.html", "Texas A&amp;amp;M +1.5")</f>
        <v>Texas A&amp;amp;M +1.5</v>
      </c>
      <c r="E1755" s="11">
        <v>5.5</v>
      </c>
      <c r="F1755" s="11">
        <v>-1.1000000000000001</v>
      </c>
      <c r="G1755" s="11" t="s">
        <v>4</v>
      </c>
      <c r="H1755" s="13">
        <v>5000</v>
      </c>
      <c r="I1755" s="14">
        <f t="shared" si="63"/>
        <v>0.84811740000000069</v>
      </c>
      <c r="J1755" s="13">
        <f t="shared" si="64"/>
        <v>283924.13999999996</v>
      </c>
    </row>
    <row r="1756" spans="1:10" x14ac:dyDescent="0.25">
      <c r="A1756" s="10">
        <v>42002</v>
      </c>
      <c r="B1756" s="11" t="s">
        <v>8</v>
      </c>
      <c r="C1756" s="11" t="s">
        <v>5</v>
      </c>
      <c r="D1756" s="16" t="str">
        <f>HYPERLINK("https://freddywills.com/pick/742/arkansas-7.html", "Arkansas -7")</f>
        <v>Arkansas -7</v>
      </c>
      <c r="E1756" s="11">
        <v>1.1000000000000001</v>
      </c>
      <c r="F1756" s="11">
        <v>-1.1000000000000001</v>
      </c>
      <c r="G1756" s="11" t="s">
        <v>4</v>
      </c>
      <c r="H1756" s="13">
        <v>1000</v>
      </c>
      <c r="I1756" s="14">
        <f t="shared" si="63"/>
        <v>0.79811740000000064</v>
      </c>
      <c r="J1756" s="13">
        <f t="shared" si="64"/>
        <v>278924.13999999996</v>
      </c>
    </row>
    <row r="1757" spans="1:10" x14ac:dyDescent="0.25">
      <c r="A1757" s="10">
        <v>42001</v>
      </c>
      <c r="B1757" s="11" t="s">
        <v>2</v>
      </c>
      <c r="C1757" s="11" t="s">
        <v>5</v>
      </c>
      <c r="D1757" s="16" t="str">
        <f>HYPERLINK("https://freddywills.com/pick/743/jaguars-8.html", "Jaguars +8")</f>
        <v>Jaguars +8</v>
      </c>
      <c r="E1757" s="11">
        <v>3.3</v>
      </c>
      <c r="F1757" s="11">
        <v>-1.1000000000000001</v>
      </c>
      <c r="G1757" s="11" t="s">
        <v>4</v>
      </c>
      <c r="H1757" s="13">
        <v>3000</v>
      </c>
      <c r="I1757" s="14">
        <f t="shared" si="63"/>
        <v>0.78811740000000063</v>
      </c>
      <c r="J1757" s="13">
        <f t="shared" si="64"/>
        <v>277924.13999999996</v>
      </c>
    </row>
    <row r="1758" spans="1:10" x14ac:dyDescent="0.25">
      <c r="A1758" s="10">
        <v>42001</v>
      </c>
      <c r="B1758" s="11" t="s">
        <v>2</v>
      </c>
      <c r="C1758" s="11" t="s">
        <v>10</v>
      </c>
      <c r="D1758" s="16" t="str">
        <f>HYPERLINK("https://freddywills.com/pick/744/chargers-8-5-packers-1-5.html", "Chargers +8.5/ Packers -1.5")</f>
        <v>Chargers +8.5/ Packers -1.5</v>
      </c>
      <c r="E1758" s="11">
        <v>4.4000000000000004</v>
      </c>
      <c r="F1758" s="11">
        <v>-1.1000000000000001</v>
      </c>
      <c r="G1758" s="11" t="s">
        <v>6</v>
      </c>
      <c r="H1758" s="13">
        <v>-4400</v>
      </c>
      <c r="I1758" s="14">
        <f t="shared" si="63"/>
        <v>0.75811740000000061</v>
      </c>
      <c r="J1758" s="13">
        <f t="shared" si="64"/>
        <v>274924.13999999996</v>
      </c>
    </row>
    <row r="1759" spans="1:10" x14ac:dyDescent="0.25">
      <c r="A1759" s="10">
        <v>42001</v>
      </c>
      <c r="B1759" s="11" t="s">
        <v>2</v>
      </c>
      <c r="C1759" s="11" t="s">
        <v>7</v>
      </c>
      <c r="D1759" s="16" t="str">
        <f>HYPERLINK("https://freddywills.com/pick/745/steelers-bengals-u48.html", "Steelers/Bengals U48")</f>
        <v>Steelers/Bengals U48</v>
      </c>
      <c r="E1759" s="11">
        <v>5.5</v>
      </c>
      <c r="F1759" s="11">
        <v>-1.1000000000000001</v>
      </c>
      <c r="G1759" s="11" t="s">
        <v>4</v>
      </c>
      <c r="H1759" s="13">
        <v>5000</v>
      </c>
      <c r="I1759" s="14">
        <f t="shared" si="63"/>
        <v>0.80211740000000065</v>
      </c>
      <c r="J1759" s="13">
        <f t="shared" si="64"/>
        <v>279324.13999999996</v>
      </c>
    </row>
    <row r="1760" spans="1:10" x14ac:dyDescent="0.25">
      <c r="A1760" s="10">
        <v>42001</v>
      </c>
      <c r="B1760" s="11" t="s">
        <v>2</v>
      </c>
      <c r="C1760" s="11" t="s">
        <v>5</v>
      </c>
      <c r="D1760" s="16" t="str">
        <f>HYPERLINK("https://freddywills.com/pick/746/steelers-3-120.html", "Steelers -3 -120")</f>
        <v>Steelers -3 -120</v>
      </c>
      <c r="E1760" s="11">
        <v>2.5</v>
      </c>
      <c r="F1760" s="11">
        <v>-1.2</v>
      </c>
      <c r="G1760" s="11" t="s">
        <v>4</v>
      </c>
      <c r="H1760" s="13">
        <v>2083.33</v>
      </c>
      <c r="I1760" s="14">
        <f t="shared" si="63"/>
        <v>0.7521174000000006</v>
      </c>
      <c r="J1760" s="13">
        <f t="shared" si="64"/>
        <v>274324.13999999996</v>
      </c>
    </row>
    <row r="1761" spans="1:10" x14ac:dyDescent="0.25">
      <c r="A1761" s="10">
        <v>42000</v>
      </c>
      <c r="B1761" s="11" t="s">
        <v>8</v>
      </c>
      <c r="C1761" s="11" t="s">
        <v>10</v>
      </c>
      <c r="D1761" s="16" t="str">
        <f>HYPERLINK("https://freddywills.com/pick/747/la-tech-pk-usc-1.html", "La Tech pk/ USC -1")</f>
        <v>La Tech pk/ USC -1</v>
      </c>
      <c r="E1761" s="11">
        <v>4.4000000000000004</v>
      </c>
      <c r="F1761" s="11">
        <v>-1.1000000000000001</v>
      </c>
      <c r="G1761" s="11" t="s">
        <v>4</v>
      </c>
      <c r="H1761" s="13">
        <v>4000</v>
      </c>
      <c r="I1761" s="14">
        <f t="shared" si="63"/>
        <v>0.73128410000000066</v>
      </c>
      <c r="J1761" s="13">
        <f t="shared" si="64"/>
        <v>272240.80999999994</v>
      </c>
    </row>
    <row r="1762" spans="1:10" x14ac:dyDescent="0.25">
      <c r="A1762" s="10">
        <v>42000</v>
      </c>
      <c r="B1762" s="11" t="s">
        <v>8</v>
      </c>
      <c r="C1762" s="11" t="s">
        <v>5</v>
      </c>
      <c r="D1762" s="16" t="str">
        <f>HYPERLINK("https://freddywills.com/pick/748/va-tech-3.html", "VA Tech +3")</f>
        <v>VA Tech +3</v>
      </c>
      <c r="E1762" s="11">
        <v>3.3</v>
      </c>
      <c r="F1762" s="11">
        <v>-1.1000000000000001</v>
      </c>
      <c r="G1762" s="11" t="s">
        <v>4</v>
      </c>
      <c r="H1762" s="13">
        <v>3000</v>
      </c>
      <c r="I1762" s="14">
        <f t="shared" si="63"/>
        <v>0.69128410000000062</v>
      </c>
      <c r="J1762" s="13">
        <f t="shared" si="64"/>
        <v>268240.80999999994</v>
      </c>
    </row>
    <row r="1763" spans="1:10" x14ac:dyDescent="0.25">
      <c r="A1763" s="10">
        <v>42000</v>
      </c>
      <c r="B1763" s="11" t="s">
        <v>8</v>
      </c>
      <c r="C1763" s="11" t="s">
        <v>5</v>
      </c>
      <c r="D1763" s="16" t="str">
        <f>HYPERLINK("https://freddywills.com/pick/749/south-carolina-3-5.html", "South Carolina +3.5")</f>
        <v>South Carolina +3.5</v>
      </c>
      <c r="E1763" s="11">
        <v>4.4000000000000004</v>
      </c>
      <c r="F1763" s="11">
        <v>-1.1000000000000001</v>
      </c>
      <c r="G1763" s="11" t="s">
        <v>4</v>
      </c>
      <c r="H1763" s="13">
        <v>4000</v>
      </c>
      <c r="I1763" s="14">
        <f t="shared" si="63"/>
        <v>0.6612841000000006</v>
      </c>
      <c r="J1763" s="13">
        <f t="shared" si="64"/>
        <v>265240.80999999994</v>
      </c>
    </row>
    <row r="1764" spans="1:10" x14ac:dyDescent="0.25">
      <c r="A1764" s="10">
        <v>42000</v>
      </c>
      <c r="B1764" s="11" t="s">
        <v>8</v>
      </c>
      <c r="C1764" s="11" t="s">
        <v>18</v>
      </c>
      <c r="D1764" s="16" t="str">
        <f>HYPERLINK("https://freddywills.com/pick/750/penn-state-125.html", "Penn State +125")</f>
        <v>Penn State +125</v>
      </c>
      <c r="E1764" s="11">
        <v>2.5</v>
      </c>
      <c r="F1764" s="11">
        <v>1.25</v>
      </c>
      <c r="G1764" s="11" t="s">
        <v>4</v>
      </c>
      <c r="H1764" s="13">
        <v>3125</v>
      </c>
      <c r="I1764" s="14">
        <f t="shared" si="63"/>
        <v>0.62128410000000056</v>
      </c>
      <c r="J1764" s="13">
        <f t="shared" si="64"/>
        <v>261240.80999999994</v>
      </c>
    </row>
    <row r="1765" spans="1:10" x14ac:dyDescent="0.25">
      <c r="A1765" s="10">
        <v>41999</v>
      </c>
      <c r="B1765" s="11" t="s">
        <v>8</v>
      </c>
      <c r="C1765" s="11" t="s">
        <v>5</v>
      </c>
      <c r="D1765" s="16" t="str">
        <f>HYPERLINK("https://freddywills.com/pick/751/la-tech-6.html", "La Tech -6")</f>
        <v>La Tech -6</v>
      </c>
      <c r="E1765" s="11">
        <v>1.1000000000000001</v>
      </c>
      <c r="F1765" s="11">
        <v>-1.1000000000000001</v>
      </c>
      <c r="G1765" s="11" t="s">
        <v>4</v>
      </c>
      <c r="H1765" s="13">
        <v>1000</v>
      </c>
      <c r="I1765" s="14">
        <f t="shared" si="63"/>
        <v>0.59003410000000056</v>
      </c>
      <c r="J1765" s="13">
        <f t="shared" si="64"/>
        <v>258115.80999999994</v>
      </c>
    </row>
    <row r="1766" spans="1:10" x14ac:dyDescent="0.25">
      <c r="A1766" s="10">
        <v>41999</v>
      </c>
      <c r="B1766" s="11" t="s">
        <v>8</v>
      </c>
      <c r="C1766" s="11" t="s">
        <v>7</v>
      </c>
      <c r="D1766" s="16" t="str">
        <f>HYPERLINK("https://freddywills.com/pick/752/nc-state-ucf-u49.html", "NC State / UCF U49")</f>
        <v>NC State / UCF U49</v>
      </c>
      <c r="E1766" s="11">
        <v>4.4000000000000004</v>
      </c>
      <c r="F1766" s="11">
        <v>-1.1000000000000001</v>
      </c>
      <c r="G1766" s="11" t="s">
        <v>6</v>
      </c>
      <c r="H1766" s="13">
        <v>-4400</v>
      </c>
      <c r="I1766" s="14">
        <f t="shared" si="63"/>
        <v>0.58003410000000055</v>
      </c>
      <c r="J1766" s="13">
        <f t="shared" si="64"/>
        <v>257115.80999999994</v>
      </c>
    </row>
    <row r="1767" spans="1:10" x14ac:dyDescent="0.25">
      <c r="A1767" s="10">
        <v>41997</v>
      </c>
      <c r="B1767" s="11" t="s">
        <v>8</v>
      </c>
      <c r="C1767" s="11" t="s">
        <v>5</v>
      </c>
      <c r="D1767" s="16" t="str">
        <f>HYPERLINK("https://freddywills.com/pick/753/cmu-4.html", "CMU +4")</f>
        <v>CMU +4</v>
      </c>
      <c r="E1767" s="11">
        <v>3.3</v>
      </c>
      <c r="F1767" s="11">
        <v>-1.1000000000000001</v>
      </c>
      <c r="G1767" s="11" t="s">
        <v>4</v>
      </c>
      <c r="H1767" s="13">
        <v>3000</v>
      </c>
      <c r="I1767" s="14">
        <f t="shared" si="63"/>
        <v>0.62403410000000059</v>
      </c>
      <c r="J1767" s="13">
        <f t="shared" si="64"/>
        <v>261515.80999999994</v>
      </c>
    </row>
    <row r="1768" spans="1:10" x14ac:dyDescent="0.25">
      <c r="A1768" s="10">
        <v>41997</v>
      </c>
      <c r="B1768" s="11" t="s">
        <v>8</v>
      </c>
      <c r="C1768" s="11" t="s">
        <v>5</v>
      </c>
      <c r="D1768" s="16" t="str">
        <f>HYPERLINK("https://freddywills.com/pick/754/rice-2.html", "Rice -2")</f>
        <v>Rice -2</v>
      </c>
      <c r="E1768" s="11">
        <v>4.4000000000000004</v>
      </c>
      <c r="F1768" s="11">
        <v>-1.1000000000000001</v>
      </c>
      <c r="G1768" s="11" t="s">
        <v>4</v>
      </c>
      <c r="H1768" s="13">
        <v>4000</v>
      </c>
      <c r="I1768" s="14">
        <f t="shared" si="63"/>
        <v>0.59403410000000056</v>
      </c>
      <c r="J1768" s="13">
        <f t="shared" si="64"/>
        <v>258515.80999999994</v>
      </c>
    </row>
    <row r="1769" spans="1:10" x14ac:dyDescent="0.25">
      <c r="A1769" s="10">
        <v>41996</v>
      </c>
      <c r="B1769" s="11" t="s">
        <v>8</v>
      </c>
      <c r="C1769" s="11" t="s">
        <v>5</v>
      </c>
      <c r="D1769" s="16" t="str">
        <f>HYPERLINK("https://freddywills.com/pick/755/sdst-2-5.html", "SDST -2.5")</f>
        <v>SDST -2.5</v>
      </c>
      <c r="E1769" s="11">
        <v>4.4000000000000004</v>
      </c>
      <c r="F1769" s="11">
        <v>-1.1000000000000001</v>
      </c>
      <c r="G1769" s="11" t="s">
        <v>6</v>
      </c>
      <c r="H1769" s="13">
        <v>-4400</v>
      </c>
      <c r="I1769" s="14">
        <f t="shared" si="63"/>
        <v>0.55403410000000053</v>
      </c>
      <c r="J1769" s="13">
        <f t="shared" si="64"/>
        <v>254515.80999999994</v>
      </c>
    </row>
    <row r="1770" spans="1:10" x14ac:dyDescent="0.25">
      <c r="A1770" s="10">
        <v>41995</v>
      </c>
      <c r="B1770" s="11" t="s">
        <v>8</v>
      </c>
      <c r="C1770" s="11" t="s">
        <v>5</v>
      </c>
      <c r="D1770" s="16" t="str">
        <f>HYPERLINK("https://freddywills.com/pick/756/byu-2.html", "BYU +2")</f>
        <v>BYU +2</v>
      </c>
      <c r="E1770" s="11">
        <v>4.4000000000000004</v>
      </c>
      <c r="F1770" s="11">
        <v>-1.1000000000000001</v>
      </c>
      <c r="G1770" s="11" t="s">
        <v>6</v>
      </c>
      <c r="H1770" s="13">
        <v>-4400</v>
      </c>
      <c r="I1770" s="14">
        <f t="shared" si="63"/>
        <v>0.59803410000000057</v>
      </c>
      <c r="J1770" s="13">
        <f t="shared" si="64"/>
        <v>258915.80999999994</v>
      </c>
    </row>
    <row r="1771" spans="1:10" x14ac:dyDescent="0.25">
      <c r="A1771" s="10">
        <v>41994</v>
      </c>
      <c r="B1771" s="11" t="s">
        <v>2</v>
      </c>
      <c r="C1771" s="11" t="s">
        <v>5</v>
      </c>
      <c r="D1771" s="16" t="str">
        <f>HYPERLINK("https://freddywills.com/pick/757/steelers-2-5.html", "Steelers -2.5")</f>
        <v>Steelers -2.5</v>
      </c>
      <c r="E1771" s="11">
        <v>5.5</v>
      </c>
      <c r="F1771" s="11">
        <v>-1.1000000000000001</v>
      </c>
      <c r="G1771" s="11" t="s">
        <v>4</v>
      </c>
      <c r="H1771" s="13">
        <v>5000</v>
      </c>
      <c r="I1771" s="14">
        <f t="shared" si="63"/>
        <v>0.64203410000000061</v>
      </c>
      <c r="J1771" s="13">
        <f t="shared" si="64"/>
        <v>263315.80999999994</v>
      </c>
    </row>
    <row r="1772" spans="1:10" x14ac:dyDescent="0.25">
      <c r="A1772" s="10">
        <v>41994</v>
      </c>
      <c r="B1772" s="11" t="s">
        <v>2</v>
      </c>
      <c r="C1772" s="11" t="s">
        <v>5</v>
      </c>
      <c r="D1772" s="16" t="str">
        <f>HYPERLINK("https://freddywills.com/pick/758/bears-9-5.html", "Bears +9.5")</f>
        <v>Bears +9.5</v>
      </c>
      <c r="E1772" s="11">
        <v>3.3</v>
      </c>
      <c r="F1772" s="11">
        <v>-1.1000000000000001</v>
      </c>
      <c r="G1772" s="11" t="s">
        <v>4</v>
      </c>
      <c r="H1772" s="13">
        <v>3000</v>
      </c>
      <c r="I1772" s="14">
        <f t="shared" si="63"/>
        <v>0.59203410000000056</v>
      </c>
      <c r="J1772" s="13">
        <f t="shared" si="64"/>
        <v>258315.80999999994</v>
      </c>
    </row>
    <row r="1773" spans="1:10" x14ac:dyDescent="0.25">
      <c r="A1773" s="10">
        <v>41994</v>
      </c>
      <c r="B1773" s="11" t="s">
        <v>2</v>
      </c>
      <c r="C1773" s="11" t="s">
        <v>5</v>
      </c>
      <c r="D1773" s="16" t="str">
        <f>HYPERLINK("https://freddywills.com/pick/759/colts-3-5.html", "Colts +3.5")</f>
        <v>Colts +3.5</v>
      </c>
      <c r="E1773" s="11">
        <v>4.4000000000000004</v>
      </c>
      <c r="F1773" s="11">
        <v>-1.1000000000000001</v>
      </c>
      <c r="G1773" s="11" t="s">
        <v>6</v>
      </c>
      <c r="H1773" s="13">
        <v>-4400</v>
      </c>
      <c r="I1773" s="14">
        <f t="shared" si="63"/>
        <v>0.56203410000000054</v>
      </c>
      <c r="J1773" s="13">
        <f t="shared" si="64"/>
        <v>255315.80999999994</v>
      </c>
    </row>
    <row r="1774" spans="1:10" x14ac:dyDescent="0.25">
      <c r="A1774" s="10">
        <v>41993</v>
      </c>
      <c r="B1774" s="11" t="s">
        <v>8</v>
      </c>
      <c r="C1774" s="11" t="s">
        <v>5</v>
      </c>
      <c r="D1774" s="16" t="str">
        <f>HYPERLINK("https://freddywills.com/pick/760/nevada-1.html", "Nevada -1")</f>
        <v>Nevada -1</v>
      </c>
      <c r="E1774" s="11">
        <v>3.3</v>
      </c>
      <c r="F1774" s="11">
        <v>-1.1000000000000001</v>
      </c>
      <c r="G1774" s="11" t="s">
        <v>6</v>
      </c>
      <c r="H1774" s="13">
        <v>-3300</v>
      </c>
      <c r="I1774" s="14">
        <f t="shared" si="63"/>
        <v>0.60603410000000058</v>
      </c>
      <c r="J1774" s="13">
        <f t="shared" si="64"/>
        <v>259715.80999999994</v>
      </c>
    </row>
    <row r="1775" spans="1:10" x14ac:dyDescent="0.25">
      <c r="A1775" s="10">
        <v>41993</v>
      </c>
      <c r="B1775" s="11" t="s">
        <v>8</v>
      </c>
      <c r="C1775" s="11" t="s">
        <v>5</v>
      </c>
      <c r="D1775" s="16" t="str">
        <f>HYPERLINK("https://freddywills.com/pick/761/utep-10-5.html", "UTEP +10.5")</f>
        <v>UTEP +10.5</v>
      </c>
      <c r="E1775" s="11">
        <v>1.1000000000000001</v>
      </c>
      <c r="F1775" s="11">
        <v>-1.1000000000000001</v>
      </c>
      <c r="G1775" s="11" t="s">
        <v>6</v>
      </c>
      <c r="H1775" s="13">
        <v>-1100</v>
      </c>
      <c r="I1775" s="14">
        <f t="shared" si="63"/>
        <v>0.6390341000000006</v>
      </c>
      <c r="J1775" s="13">
        <f t="shared" si="64"/>
        <v>263015.80999999994</v>
      </c>
    </row>
    <row r="1776" spans="1:10" x14ac:dyDescent="0.25">
      <c r="A1776" s="10">
        <v>41993</v>
      </c>
      <c r="B1776" s="11" t="s">
        <v>8</v>
      </c>
      <c r="C1776" s="11" t="s">
        <v>5</v>
      </c>
      <c r="D1776" s="16" t="str">
        <f>HYPERLINK("https://freddywills.com/pick/762/utah-col-st-u58.html", "Utah/Col St U58")</f>
        <v>Utah/Col St U58</v>
      </c>
      <c r="E1776" s="11">
        <v>5.5</v>
      </c>
      <c r="F1776" s="11">
        <v>-1.1000000000000001</v>
      </c>
      <c r="G1776" s="11" t="s">
        <v>4</v>
      </c>
      <c r="H1776" s="13">
        <v>5000</v>
      </c>
      <c r="I1776" s="14">
        <f t="shared" si="63"/>
        <v>0.65003410000000061</v>
      </c>
      <c r="J1776" s="13">
        <f t="shared" si="64"/>
        <v>264115.80999999994</v>
      </c>
    </row>
    <row r="1777" spans="1:10" x14ac:dyDescent="0.25">
      <c r="A1777" s="10">
        <v>41993</v>
      </c>
      <c r="B1777" s="11" t="s">
        <v>8</v>
      </c>
      <c r="C1777" s="11" t="s">
        <v>5</v>
      </c>
      <c r="D1777" s="16" t="str">
        <f>HYPERLINK("https://freddywills.com/pick/763/air-force-2.html", "Air Force +2")</f>
        <v>Air Force +2</v>
      </c>
      <c r="E1777" s="11">
        <v>3.3</v>
      </c>
      <c r="F1777" s="11">
        <v>-1.1000000000000001</v>
      </c>
      <c r="G1777" s="11" t="s">
        <v>4</v>
      </c>
      <c r="H1777" s="13">
        <v>3000</v>
      </c>
      <c r="I1777" s="14">
        <f t="shared" si="63"/>
        <v>0.60003410000000057</v>
      </c>
      <c r="J1777" s="13">
        <f t="shared" si="64"/>
        <v>259115.80999999994</v>
      </c>
    </row>
    <row r="1778" spans="1:10" x14ac:dyDescent="0.25">
      <c r="A1778" s="10">
        <v>41987</v>
      </c>
      <c r="B1778" s="11" t="s">
        <v>2</v>
      </c>
      <c r="C1778" s="11" t="s">
        <v>10</v>
      </c>
      <c r="D1778" s="16" t="str">
        <f>HYPERLINK("https://freddywills.com/pick/764/colts-1-bengals-8-5.html", "Colts -1/ Bengals +8.5")</f>
        <v>Colts -1/ Bengals +8.5</v>
      </c>
      <c r="E1778" s="11">
        <v>4.4000000000000004</v>
      </c>
      <c r="F1778" s="11">
        <v>-1.1000000000000001</v>
      </c>
      <c r="G1778" s="11" t="s">
        <v>4</v>
      </c>
      <c r="H1778" s="13">
        <v>4000</v>
      </c>
      <c r="I1778" s="14">
        <f t="shared" si="63"/>
        <v>0.57003410000000054</v>
      </c>
      <c r="J1778" s="13">
        <f t="shared" si="64"/>
        <v>256115.80999999994</v>
      </c>
    </row>
    <row r="1779" spans="1:10" x14ac:dyDescent="0.25">
      <c r="A1779" s="10">
        <v>41987</v>
      </c>
      <c r="B1779" s="11" t="s">
        <v>2</v>
      </c>
      <c r="C1779" s="11" t="s">
        <v>5</v>
      </c>
      <c r="D1779" s="16" t="str">
        <f>HYPERLINK("https://freddywills.com/pick/765/bills-4.html", "Bills +4")</f>
        <v>Bills +4</v>
      </c>
      <c r="E1779" s="11">
        <v>1.1000000000000001</v>
      </c>
      <c r="F1779" s="11">
        <v>-1.1000000000000001</v>
      </c>
      <c r="G1779" s="11" t="s">
        <v>4</v>
      </c>
      <c r="H1779" s="13">
        <v>1000</v>
      </c>
      <c r="I1779" s="14">
        <f t="shared" si="63"/>
        <v>0.53003410000000051</v>
      </c>
      <c r="J1779" s="13">
        <f t="shared" si="64"/>
        <v>252115.80999999994</v>
      </c>
    </row>
    <row r="1780" spans="1:10" x14ac:dyDescent="0.25">
      <c r="A1780" s="10">
        <v>41987</v>
      </c>
      <c r="B1780" s="11" t="s">
        <v>2</v>
      </c>
      <c r="C1780" s="11" t="s">
        <v>5</v>
      </c>
      <c r="D1780" s="16" t="str">
        <f>HYPERLINK("https://freddywills.com/pick/766/vikings-8.html", "Vikings+8")</f>
        <v>Vikings+8</v>
      </c>
      <c r="E1780" s="11">
        <v>5.5</v>
      </c>
      <c r="F1780" s="11">
        <v>-1.1000000000000001</v>
      </c>
      <c r="G1780" s="11" t="s">
        <v>4</v>
      </c>
      <c r="H1780" s="13">
        <v>5000</v>
      </c>
      <c r="I1780" s="14">
        <f t="shared" si="63"/>
        <v>0.5200341000000005</v>
      </c>
      <c r="J1780" s="13">
        <f t="shared" si="64"/>
        <v>251115.80999999994</v>
      </c>
    </row>
    <row r="1781" spans="1:10" x14ac:dyDescent="0.25">
      <c r="A1781" s="10">
        <v>41987</v>
      </c>
      <c r="B1781" s="11" t="s">
        <v>2</v>
      </c>
      <c r="C1781" s="11" t="s">
        <v>5</v>
      </c>
      <c r="D1781" s="16" t="str">
        <f>HYPERLINK("https://freddywills.com/pick/767/cowboys-3-5.html", "Cowboys +3.5")</f>
        <v>Cowboys +3.5</v>
      </c>
      <c r="E1781" s="11">
        <v>3.3</v>
      </c>
      <c r="F1781" s="11">
        <v>-1.1000000000000001</v>
      </c>
      <c r="G1781" s="11" t="s">
        <v>4</v>
      </c>
      <c r="H1781" s="13">
        <v>3000</v>
      </c>
      <c r="I1781" s="14">
        <f t="shared" si="63"/>
        <v>0.47003410000000045</v>
      </c>
      <c r="J1781" s="13">
        <f t="shared" si="64"/>
        <v>246115.80999999994</v>
      </c>
    </row>
    <row r="1782" spans="1:10" x14ac:dyDescent="0.25">
      <c r="A1782" s="10">
        <v>41987</v>
      </c>
      <c r="B1782" s="11" t="s">
        <v>2</v>
      </c>
      <c r="C1782" s="11" t="s">
        <v>7</v>
      </c>
      <c r="D1782" s="16" t="str">
        <f>HYPERLINK("https://freddywills.com/pick/768/chargers-broncos-u51.html", "Chargers/Broncos U51")</f>
        <v>Chargers/Broncos U51</v>
      </c>
      <c r="E1782" s="11">
        <v>3.3</v>
      </c>
      <c r="F1782" s="11">
        <v>-1.1000000000000001</v>
      </c>
      <c r="G1782" s="11" t="s">
        <v>4</v>
      </c>
      <c r="H1782" s="13">
        <v>3000</v>
      </c>
      <c r="I1782" s="14">
        <f t="shared" si="63"/>
        <v>0.44003410000000043</v>
      </c>
      <c r="J1782" s="13">
        <f t="shared" si="64"/>
        <v>243115.80999999994</v>
      </c>
    </row>
    <row r="1783" spans="1:10" x14ac:dyDescent="0.25">
      <c r="A1783" s="10">
        <v>41986</v>
      </c>
      <c r="B1783" s="11" t="s">
        <v>8</v>
      </c>
      <c r="C1783" s="11" t="s">
        <v>5</v>
      </c>
      <c r="D1783" s="16" t="str">
        <f>HYPERLINK("https://freddywills.com/pick/769/army-15.html", "Army +15")</f>
        <v>Army +15</v>
      </c>
      <c r="E1783" s="11">
        <v>3.3</v>
      </c>
      <c r="F1783" s="11">
        <v>-1.1000000000000001</v>
      </c>
      <c r="G1783" s="11" t="s">
        <v>4</v>
      </c>
      <c r="H1783" s="13">
        <v>3000</v>
      </c>
      <c r="I1783" s="14">
        <f t="shared" si="63"/>
        <v>0.4100341000000004</v>
      </c>
      <c r="J1783" s="13">
        <f t="shared" si="64"/>
        <v>240115.80999999994</v>
      </c>
    </row>
    <row r="1784" spans="1:10" x14ac:dyDescent="0.25">
      <c r="A1784" s="10">
        <v>41986</v>
      </c>
      <c r="B1784" s="11" t="s">
        <v>8</v>
      </c>
      <c r="C1784" s="11" t="s">
        <v>18</v>
      </c>
      <c r="D1784" s="16" t="str">
        <f>HYPERLINK("https://freddywills.com/pick/770/army-510.html", "Army +510")</f>
        <v>Army +510</v>
      </c>
      <c r="E1784" s="11">
        <v>0.5</v>
      </c>
      <c r="F1784" s="11">
        <v>5.0999999999999996</v>
      </c>
      <c r="G1784" s="11" t="s">
        <v>6</v>
      </c>
      <c r="H1784" s="13">
        <v>-500</v>
      </c>
      <c r="I1784" s="14">
        <f t="shared" si="63"/>
        <v>0.38003410000000037</v>
      </c>
      <c r="J1784" s="13">
        <f t="shared" si="64"/>
        <v>237115.80999999994</v>
      </c>
    </row>
    <row r="1785" spans="1:10" x14ac:dyDescent="0.25">
      <c r="A1785" s="10">
        <v>41984</v>
      </c>
      <c r="B1785" s="11" t="s">
        <v>2</v>
      </c>
      <c r="C1785" s="11" t="s">
        <v>5</v>
      </c>
      <c r="D1785" s="16" t="str">
        <f>HYPERLINK("https://freddywills.com/pick/771/cardinals-6.html", "Cardinals +6")</f>
        <v>Cardinals +6</v>
      </c>
      <c r="E1785" s="11">
        <v>3.3</v>
      </c>
      <c r="F1785" s="11">
        <v>-1.1000000000000001</v>
      </c>
      <c r="G1785" s="11" t="s">
        <v>4</v>
      </c>
      <c r="H1785" s="13">
        <v>3000</v>
      </c>
      <c r="I1785" s="14">
        <f t="shared" si="63"/>
        <v>0.38503410000000038</v>
      </c>
      <c r="J1785" s="13">
        <f t="shared" si="64"/>
        <v>237615.80999999994</v>
      </c>
    </row>
    <row r="1786" spans="1:10" x14ac:dyDescent="0.25">
      <c r="A1786" s="10">
        <v>41980</v>
      </c>
      <c r="B1786" s="11" t="s">
        <v>2</v>
      </c>
      <c r="C1786" s="11" t="s">
        <v>5</v>
      </c>
      <c r="D1786" s="16" t="str">
        <f>HYPERLINK("https://freddywills.com/pick/772/steelers-3-5.html", "Steelers +3.5")</f>
        <v>Steelers +3.5</v>
      </c>
      <c r="E1786" s="11">
        <v>2.2000000000000002</v>
      </c>
      <c r="F1786" s="11">
        <v>-1.1000000000000001</v>
      </c>
      <c r="G1786" s="11" t="s">
        <v>4</v>
      </c>
      <c r="H1786" s="13">
        <v>2000</v>
      </c>
      <c r="I1786" s="14">
        <f t="shared" si="63"/>
        <v>0.35503410000000035</v>
      </c>
      <c r="J1786" s="13">
        <f t="shared" si="64"/>
        <v>234615.80999999994</v>
      </c>
    </row>
    <row r="1787" spans="1:10" x14ac:dyDescent="0.25">
      <c r="A1787" s="10">
        <v>41980</v>
      </c>
      <c r="B1787" s="11" t="s">
        <v>2</v>
      </c>
      <c r="C1787" s="11" t="s">
        <v>5</v>
      </c>
      <c r="D1787" s="16" t="str">
        <f>HYPERLINK("https://freddywills.com/pick/773/seahawks-1-5.html", "Seahawks -1.5")</f>
        <v>Seahawks -1.5</v>
      </c>
      <c r="E1787" s="11">
        <v>5.5</v>
      </c>
      <c r="F1787" s="11">
        <v>-1.1000000000000001</v>
      </c>
      <c r="G1787" s="11" t="s">
        <v>4</v>
      </c>
      <c r="H1787" s="13">
        <v>5000</v>
      </c>
      <c r="I1787" s="14">
        <f t="shared" si="63"/>
        <v>0.33503410000000033</v>
      </c>
      <c r="J1787" s="13">
        <f t="shared" si="64"/>
        <v>232615.80999999994</v>
      </c>
    </row>
    <row r="1788" spans="1:10" x14ac:dyDescent="0.25">
      <c r="A1788" s="10">
        <v>41980</v>
      </c>
      <c r="B1788" s="11" t="s">
        <v>2</v>
      </c>
      <c r="C1788" s="11" t="s">
        <v>10</v>
      </c>
      <c r="D1788" s="16" t="str">
        <f>HYPERLINK("https://freddywills.com/pick/774/cards-8-5-49ers-2.html", "Cards +8.5 / 49ers -2")</f>
        <v>Cards +8.5 / 49ers -2</v>
      </c>
      <c r="E1788" s="11">
        <v>4.4000000000000004</v>
      </c>
      <c r="F1788" s="11">
        <v>-1.1000000000000001</v>
      </c>
      <c r="G1788" s="11" t="s">
        <v>6</v>
      </c>
      <c r="H1788" s="13">
        <v>-4400</v>
      </c>
      <c r="I1788" s="14">
        <f t="shared" ref="I1788:I1851" si="65">(H1788/100000)+I1789</f>
        <v>0.28503410000000035</v>
      </c>
      <c r="J1788" s="13">
        <f t="shared" ref="J1788:J1851" si="66">H1788+J1789</f>
        <v>227615.80999999994</v>
      </c>
    </row>
    <row r="1789" spans="1:10" x14ac:dyDescent="0.25">
      <c r="A1789" s="10">
        <v>41979</v>
      </c>
      <c r="B1789" s="11" t="s">
        <v>8</v>
      </c>
      <c r="C1789" s="11" t="s">
        <v>5</v>
      </c>
      <c r="D1789" s="16" t="str">
        <f>HYPERLINK("https://freddywills.com/pick/775/tulane-3.html", "Tulane +3")</f>
        <v>Tulane +3</v>
      </c>
      <c r="E1789" s="11">
        <v>3.3</v>
      </c>
      <c r="F1789" s="11">
        <v>-1.1000000000000001</v>
      </c>
      <c r="G1789" s="11" t="s">
        <v>6</v>
      </c>
      <c r="H1789" s="13">
        <v>-3300</v>
      </c>
      <c r="I1789" s="14">
        <f t="shared" si="65"/>
        <v>0.32903410000000033</v>
      </c>
      <c r="J1789" s="13">
        <f t="shared" si="66"/>
        <v>232015.80999999994</v>
      </c>
    </row>
    <row r="1790" spans="1:10" x14ac:dyDescent="0.25">
      <c r="A1790" s="10">
        <v>41979</v>
      </c>
      <c r="B1790" s="11" t="s">
        <v>8</v>
      </c>
      <c r="C1790" s="11" t="s">
        <v>5</v>
      </c>
      <c r="D1790" s="16" t="str">
        <f>HYPERLINK("https://freddywills.com/pick/776/kansas-st-7-5.html", "Kansas St +7.5")</f>
        <v>Kansas St +7.5</v>
      </c>
      <c r="E1790" s="11">
        <v>4.4000000000000004</v>
      </c>
      <c r="F1790" s="11">
        <v>-1.1000000000000001</v>
      </c>
      <c r="G1790" s="11" t="s">
        <v>6</v>
      </c>
      <c r="H1790" s="13">
        <v>-4400</v>
      </c>
      <c r="I1790" s="14">
        <f t="shared" si="65"/>
        <v>0.36203410000000036</v>
      </c>
      <c r="J1790" s="13">
        <f t="shared" si="66"/>
        <v>235315.80999999994</v>
      </c>
    </row>
    <row r="1791" spans="1:10" x14ac:dyDescent="0.25">
      <c r="A1791" s="10">
        <v>41979</v>
      </c>
      <c r="B1791" s="11" t="s">
        <v>8</v>
      </c>
      <c r="C1791" s="11" t="s">
        <v>7</v>
      </c>
      <c r="D1791" s="16" t="str">
        <f>HYPERLINK("https://freddywills.com/pick/777/alabama-missouri-u49.html", "Alabama/Missouri U49")</f>
        <v>Alabama/Missouri U49</v>
      </c>
      <c r="E1791" s="11">
        <v>2.2000000000000002</v>
      </c>
      <c r="F1791" s="11">
        <v>-1.1000000000000001</v>
      </c>
      <c r="G1791" s="11" t="s">
        <v>6</v>
      </c>
      <c r="H1791" s="13">
        <v>-2200</v>
      </c>
      <c r="I1791" s="14">
        <f t="shared" si="65"/>
        <v>0.40603410000000034</v>
      </c>
      <c r="J1791" s="13">
        <f t="shared" si="66"/>
        <v>239715.80999999994</v>
      </c>
    </row>
    <row r="1792" spans="1:10" x14ac:dyDescent="0.25">
      <c r="A1792" s="10">
        <v>41979</v>
      </c>
      <c r="B1792" s="11" t="s">
        <v>8</v>
      </c>
      <c r="C1792" s="11" t="s">
        <v>5</v>
      </c>
      <c r="D1792" s="16" t="str">
        <f>HYPERLINK("https://freddywills.com/pick/778/georgia-tech-4.html", "Georgia Tech +4")</f>
        <v>Georgia Tech +4</v>
      </c>
      <c r="E1792" s="11">
        <v>2.2000000000000002</v>
      </c>
      <c r="F1792" s="11">
        <v>-1.1000000000000001</v>
      </c>
      <c r="G1792" s="11" t="s">
        <v>4</v>
      </c>
      <c r="H1792" s="13">
        <v>2000</v>
      </c>
      <c r="I1792" s="14">
        <f t="shared" si="65"/>
        <v>0.42803410000000036</v>
      </c>
      <c r="J1792" s="13">
        <f t="shared" si="66"/>
        <v>241915.80999999994</v>
      </c>
    </row>
    <row r="1793" spans="1:10" x14ac:dyDescent="0.25">
      <c r="A1793" s="10">
        <v>41979</v>
      </c>
      <c r="B1793" s="11" t="s">
        <v>8</v>
      </c>
      <c r="C1793" s="11" t="s">
        <v>5</v>
      </c>
      <c r="D1793" s="16" t="str">
        <f>HYPERLINK("https://freddywills.com/pick/779/ohio-st-4-5.html", "Ohio St +4.5")</f>
        <v>Ohio St +4.5</v>
      </c>
      <c r="E1793" s="11">
        <v>5.5</v>
      </c>
      <c r="F1793" s="11">
        <v>-1.1000000000000001</v>
      </c>
      <c r="G1793" s="11" t="s">
        <v>4</v>
      </c>
      <c r="H1793" s="13">
        <v>5000</v>
      </c>
      <c r="I1793" s="14">
        <f t="shared" si="65"/>
        <v>0.40803410000000034</v>
      </c>
      <c r="J1793" s="13">
        <f t="shared" si="66"/>
        <v>239915.80999999994</v>
      </c>
    </row>
    <row r="1794" spans="1:10" x14ac:dyDescent="0.25">
      <c r="A1794" s="10">
        <v>41979</v>
      </c>
      <c r="B1794" s="11" t="s">
        <v>8</v>
      </c>
      <c r="C1794" s="11" t="s">
        <v>18</v>
      </c>
      <c r="D1794" s="16" t="str">
        <f>HYPERLINK("https://freddywills.com/pick/780/ohio-st-175.html", "Ohio St +175")</f>
        <v>Ohio St +175</v>
      </c>
      <c r="E1794" s="11">
        <v>1.5</v>
      </c>
      <c r="F1794" s="11">
        <v>1.75</v>
      </c>
      <c r="G1794" s="11" t="s">
        <v>4</v>
      </c>
      <c r="H1794" s="13">
        <v>2625</v>
      </c>
      <c r="I1794" s="14">
        <f t="shared" si="65"/>
        <v>0.35803410000000035</v>
      </c>
      <c r="J1794" s="13">
        <f t="shared" si="66"/>
        <v>234915.80999999994</v>
      </c>
    </row>
    <row r="1795" spans="1:10" x14ac:dyDescent="0.25">
      <c r="A1795" s="10">
        <v>41978</v>
      </c>
      <c r="B1795" s="11" t="s">
        <v>8</v>
      </c>
      <c r="C1795" s="11" t="s">
        <v>5</v>
      </c>
      <c r="D1795" s="16" t="str">
        <f>HYPERLINK("https://freddywills.com/pick/781/n-illinois-6-5.html", "N. Illinois -6.5")</f>
        <v>N. Illinois -6.5</v>
      </c>
      <c r="E1795" s="11">
        <v>1.1000000000000001</v>
      </c>
      <c r="F1795" s="11">
        <v>-1.1000000000000001</v>
      </c>
      <c r="G1795" s="11" t="s">
        <v>4</v>
      </c>
      <c r="H1795" s="13">
        <v>1000</v>
      </c>
      <c r="I1795" s="14">
        <f t="shared" si="65"/>
        <v>0.33178410000000036</v>
      </c>
      <c r="J1795" s="13">
        <f t="shared" si="66"/>
        <v>232290.80999999994</v>
      </c>
    </row>
    <row r="1796" spans="1:10" x14ac:dyDescent="0.25">
      <c r="A1796" s="10">
        <v>41978</v>
      </c>
      <c r="B1796" s="11" t="s">
        <v>8</v>
      </c>
      <c r="C1796" s="11" t="s">
        <v>10</v>
      </c>
      <c r="D1796" s="16" t="str">
        <f>HYPERLINK("https://freddywills.com/pick/782/n-illinois-0-5-cinci-1.html", "N. Illinois -0.5/ Cinci -1")</f>
        <v>N. Illinois -0.5/ Cinci -1</v>
      </c>
      <c r="E1796" s="11">
        <v>4.4000000000000004</v>
      </c>
      <c r="F1796" s="11">
        <v>-1.1000000000000001</v>
      </c>
      <c r="G1796" s="11" t="s">
        <v>4</v>
      </c>
      <c r="H1796" s="13">
        <v>4000</v>
      </c>
      <c r="I1796" s="14">
        <f t="shared" si="65"/>
        <v>0.32178410000000035</v>
      </c>
      <c r="J1796" s="13">
        <f t="shared" si="66"/>
        <v>231290.80999999994</v>
      </c>
    </row>
    <row r="1797" spans="1:10" x14ac:dyDescent="0.25">
      <c r="A1797" s="10">
        <v>41978</v>
      </c>
      <c r="B1797" s="11" t="s">
        <v>8</v>
      </c>
      <c r="C1797" s="11" t="s">
        <v>7</v>
      </c>
      <c r="D1797" s="16" t="str">
        <f>HYPERLINK("https://freddywills.com/pick/783/oregon-arizona-u74-5.html", "Oregon/Arizona U74.5")</f>
        <v>Oregon/Arizona U74.5</v>
      </c>
      <c r="E1797" s="11">
        <v>4.4000000000000004</v>
      </c>
      <c r="F1797" s="11">
        <v>-1.1000000000000001</v>
      </c>
      <c r="G1797" s="11" t="s">
        <v>4</v>
      </c>
      <c r="H1797" s="13">
        <v>4000</v>
      </c>
      <c r="I1797" s="14">
        <f t="shared" si="65"/>
        <v>0.28178410000000037</v>
      </c>
      <c r="J1797" s="13">
        <f t="shared" si="66"/>
        <v>227290.80999999994</v>
      </c>
    </row>
    <row r="1798" spans="1:10" x14ac:dyDescent="0.25">
      <c r="A1798" s="10">
        <v>41977</v>
      </c>
      <c r="B1798" s="11" t="s">
        <v>8</v>
      </c>
      <c r="C1798" s="11" t="s">
        <v>5</v>
      </c>
      <c r="D1798" s="16" t="str">
        <f>HYPERLINK("https://freddywills.com/pick/784/ucf-7-115.html", "UCF +7 -115")</f>
        <v>UCF +7 -115</v>
      </c>
      <c r="E1798" s="11">
        <v>3.5</v>
      </c>
      <c r="F1798" s="11">
        <v>-1.1000000000000001</v>
      </c>
      <c r="G1798" s="11" t="s">
        <v>4</v>
      </c>
      <c r="H1798" s="13">
        <v>3181.82</v>
      </c>
      <c r="I1798" s="14">
        <f t="shared" si="65"/>
        <v>0.24178410000000039</v>
      </c>
      <c r="J1798" s="13">
        <f t="shared" si="66"/>
        <v>223290.80999999994</v>
      </c>
    </row>
    <row r="1799" spans="1:10" x14ac:dyDescent="0.25">
      <c r="A1799" s="10">
        <v>41973</v>
      </c>
      <c r="B1799" s="11" t="s">
        <v>2</v>
      </c>
      <c r="C1799" s="11" t="s">
        <v>18</v>
      </c>
      <c r="D1799" s="16" t="str">
        <f>HYPERLINK("https://freddywills.com/pick/785/jax-jaguars-140.html", "JAX Jaguars +140")</f>
        <v>JAX Jaguars +140</v>
      </c>
      <c r="E1799" s="11">
        <v>3</v>
      </c>
      <c r="F1799" s="11">
        <v>1.4</v>
      </c>
      <c r="G1799" s="11" t="s">
        <v>4</v>
      </c>
      <c r="H1799" s="13">
        <v>4200</v>
      </c>
      <c r="I1799" s="14">
        <f t="shared" si="65"/>
        <v>0.2099659000000004</v>
      </c>
      <c r="J1799" s="13">
        <f t="shared" si="66"/>
        <v>220108.98999999993</v>
      </c>
    </row>
    <row r="1800" spans="1:10" x14ac:dyDescent="0.25">
      <c r="A1800" s="10">
        <v>41973</v>
      </c>
      <c r="B1800" s="11" t="s">
        <v>2</v>
      </c>
      <c r="C1800" s="11" t="s">
        <v>5</v>
      </c>
      <c r="D1800" s="16" t="str">
        <f>HYPERLINK("https://freddywills.com/pick/786/sd-chargers-6-5.html", "SD Chargers +6.5")</f>
        <v>SD Chargers +6.5</v>
      </c>
      <c r="E1800" s="11">
        <v>1.1000000000000001</v>
      </c>
      <c r="F1800" s="11">
        <v>-1.1000000000000001</v>
      </c>
      <c r="G1800" s="11" t="s">
        <v>4</v>
      </c>
      <c r="H1800" s="13">
        <v>1000</v>
      </c>
      <c r="I1800" s="14">
        <f t="shared" si="65"/>
        <v>0.16796590000000039</v>
      </c>
      <c r="J1800" s="13">
        <f t="shared" si="66"/>
        <v>215908.98999999993</v>
      </c>
    </row>
    <row r="1801" spans="1:10" x14ac:dyDescent="0.25">
      <c r="A1801" s="10">
        <v>41973</v>
      </c>
      <c r="B1801" s="11" t="s">
        <v>2</v>
      </c>
      <c r="C1801" s="11" t="s">
        <v>10</v>
      </c>
      <c r="D1801" s="16" t="str">
        <f>HYPERLINK("https://freddywills.com/pick/787/ind-colts-2-stl-rams-0-5.html", "IND Colts -2|STL Rams -0.5")</f>
        <v>IND Colts -2|STL Rams -0.5</v>
      </c>
      <c r="E1801" s="11">
        <v>3.3</v>
      </c>
      <c r="F1801" s="11">
        <v>-1.1000000000000001</v>
      </c>
      <c r="G1801" s="11" t="s">
        <v>4</v>
      </c>
      <c r="H1801" s="13">
        <v>3000</v>
      </c>
      <c r="I1801" s="14">
        <f t="shared" si="65"/>
        <v>0.15796590000000038</v>
      </c>
      <c r="J1801" s="13">
        <f t="shared" si="66"/>
        <v>214908.98999999993</v>
      </c>
    </row>
    <row r="1802" spans="1:10" x14ac:dyDescent="0.25">
      <c r="A1802" s="10">
        <v>41973</v>
      </c>
      <c r="B1802" s="11" t="s">
        <v>2</v>
      </c>
      <c r="C1802" s="11" t="s">
        <v>5</v>
      </c>
      <c r="D1802" s="16" t="str">
        <f>HYPERLINK("https://freddywills.com/pick/788/ari-cardinals-1-5.html", "ARI Cardinals -1.5")</f>
        <v>ARI Cardinals -1.5</v>
      </c>
      <c r="E1802" s="11">
        <v>3.3</v>
      </c>
      <c r="F1802" s="11">
        <v>-1.1000000000000001</v>
      </c>
      <c r="G1802" s="11" t="s">
        <v>6</v>
      </c>
      <c r="H1802" s="13">
        <v>-3300</v>
      </c>
      <c r="I1802" s="14">
        <f t="shared" si="65"/>
        <v>0.12796590000000038</v>
      </c>
      <c r="J1802" s="13">
        <f t="shared" si="66"/>
        <v>211908.98999999993</v>
      </c>
    </row>
    <row r="1803" spans="1:10" x14ac:dyDescent="0.25">
      <c r="A1803" s="10">
        <v>41973</v>
      </c>
      <c r="B1803" s="11" t="s">
        <v>2</v>
      </c>
      <c r="C1803" s="11" t="s">
        <v>5</v>
      </c>
      <c r="D1803" s="16" t="str">
        <f>HYPERLINK("https://freddywills.com/pick/789/den-broncos-1.html", "DEN Broncos +1")</f>
        <v>DEN Broncos +1</v>
      </c>
      <c r="E1803" s="11">
        <v>5.5</v>
      </c>
      <c r="F1803" s="11">
        <v>-1.1000000000000001</v>
      </c>
      <c r="G1803" s="11" t="s">
        <v>4</v>
      </c>
      <c r="H1803" s="13">
        <v>5000</v>
      </c>
      <c r="I1803" s="14">
        <f t="shared" si="65"/>
        <v>0.16096590000000038</v>
      </c>
      <c r="J1803" s="13">
        <f t="shared" si="66"/>
        <v>215208.98999999993</v>
      </c>
    </row>
    <row r="1804" spans="1:10" x14ac:dyDescent="0.25">
      <c r="A1804" s="10">
        <v>41972</v>
      </c>
      <c r="B1804" s="11" t="s">
        <v>8</v>
      </c>
      <c r="C1804" s="11" t="s">
        <v>5</v>
      </c>
      <c r="D1804" s="16" t="str">
        <f>HYPERLINK("https://freddywills.com/pick/790/odu-3-5.html", "ODU +3.5")</f>
        <v>ODU +3.5</v>
      </c>
      <c r="E1804" s="11">
        <v>3.3</v>
      </c>
      <c r="F1804" s="11">
        <v>-1.1000000000000001</v>
      </c>
      <c r="G1804" s="11" t="s">
        <v>4</v>
      </c>
      <c r="H1804" s="13">
        <v>3000</v>
      </c>
      <c r="I1804" s="14">
        <f t="shared" si="65"/>
        <v>0.11096590000000038</v>
      </c>
      <c r="J1804" s="13">
        <f t="shared" si="66"/>
        <v>210208.98999999993</v>
      </c>
    </row>
    <row r="1805" spans="1:10" x14ac:dyDescent="0.25">
      <c r="A1805" s="10">
        <v>41972</v>
      </c>
      <c r="B1805" s="11" t="s">
        <v>8</v>
      </c>
      <c r="C1805" s="11" t="s">
        <v>5</v>
      </c>
      <c r="D1805" s="16" t="str">
        <f>HYPERLINK("https://freddywills.com/pick/791/kentucky-12-5.html", "Kentucky +12.5")</f>
        <v>Kentucky +12.5</v>
      </c>
      <c r="E1805" s="11">
        <v>3.3</v>
      </c>
      <c r="F1805" s="11">
        <v>-1.1000000000000001</v>
      </c>
      <c r="G1805" s="11" t="s">
        <v>4</v>
      </c>
      <c r="H1805" s="13">
        <v>3000</v>
      </c>
      <c r="I1805" s="14">
        <f t="shared" si="65"/>
        <v>8.0965900000000382E-2</v>
      </c>
      <c r="J1805" s="13">
        <f t="shared" si="66"/>
        <v>207208.98999999993</v>
      </c>
    </row>
    <row r="1806" spans="1:10" x14ac:dyDescent="0.25">
      <c r="A1806" s="10">
        <v>41972</v>
      </c>
      <c r="B1806" s="11" t="s">
        <v>8</v>
      </c>
      <c r="C1806" s="11" t="s">
        <v>5</v>
      </c>
      <c r="D1806" s="16" t="str">
        <f>HYPERLINK("https://freddywills.com/pick/792/penn-st-13-5.html", "Penn St +13.5")</f>
        <v>Penn St +13.5</v>
      </c>
      <c r="E1806" s="11">
        <v>1.1000000000000001</v>
      </c>
      <c r="F1806" s="11">
        <v>-1.1000000000000001</v>
      </c>
      <c r="G1806" s="11" t="s">
        <v>6</v>
      </c>
      <c r="H1806" s="13">
        <v>-1100</v>
      </c>
      <c r="I1806" s="14">
        <f t="shared" si="65"/>
        <v>5.0965900000000383E-2</v>
      </c>
      <c r="J1806" s="13">
        <f t="shared" si="66"/>
        <v>204208.98999999993</v>
      </c>
    </row>
    <row r="1807" spans="1:10" x14ac:dyDescent="0.25">
      <c r="A1807" s="10">
        <v>41972</v>
      </c>
      <c r="B1807" s="11" t="s">
        <v>8</v>
      </c>
      <c r="C1807" s="11" t="s">
        <v>10</v>
      </c>
      <c r="D1807" s="16" t="str">
        <f>HYPERLINK("https://freddywills.com/pick/793/florida-st-1-alabama-2-5.html", "Florida St -1/ Alabama -2.5")</f>
        <v>Florida St -1/ Alabama -2.5</v>
      </c>
      <c r="E1807" s="11">
        <v>4.4000000000000004</v>
      </c>
      <c r="F1807" s="11">
        <v>-1.1000000000000001</v>
      </c>
      <c r="G1807" s="11" t="s">
        <v>4</v>
      </c>
      <c r="H1807" s="13">
        <v>4000</v>
      </c>
      <c r="I1807" s="14">
        <f t="shared" si="65"/>
        <v>6.1965900000000379E-2</v>
      </c>
      <c r="J1807" s="13">
        <f t="shared" si="66"/>
        <v>205308.98999999993</v>
      </c>
    </row>
    <row r="1808" spans="1:10" x14ac:dyDescent="0.25">
      <c r="A1808" s="10">
        <v>41972</v>
      </c>
      <c r="B1808" s="11" t="s">
        <v>8</v>
      </c>
      <c r="C1808" s="11" t="s">
        <v>5</v>
      </c>
      <c r="D1808" s="16" t="str">
        <f>HYPERLINK("https://freddywills.com/pick/794/miss-st-2-5.html", "Miss St -2.5")</f>
        <v>Miss St -2.5</v>
      </c>
      <c r="E1808" s="11">
        <v>2.2000000000000002</v>
      </c>
      <c r="F1808" s="11">
        <v>-1.1000000000000001</v>
      </c>
      <c r="G1808" s="11" t="s">
        <v>6</v>
      </c>
      <c r="H1808" s="13">
        <v>-2200</v>
      </c>
      <c r="I1808" s="14">
        <f t="shared" si="65"/>
        <v>2.1965900000000378E-2</v>
      </c>
      <c r="J1808" s="13">
        <f t="shared" si="66"/>
        <v>201308.98999999993</v>
      </c>
    </row>
    <row r="1809" spans="1:10" x14ac:dyDescent="0.25">
      <c r="A1809" s="10">
        <v>41972</v>
      </c>
      <c r="B1809" s="11" t="s">
        <v>8</v>
      </c>
      <c r="C1809" s="11" t="s">
        <v>7</v>
      </c>
      <c r="D1809" s="16" t="str">
        <f>HYPERLINK("https://freddywills.com/pick/795/miss-st-ole-miss-u50-5.html", "Miss St|Ole Miss U50.5")</f>
        <v>Miss St|Ole Miss U50.5</v>
      </c>
      <c r="E1809" s="11">
        <v>3.3</v>
      </c>
      <c r="F1809" s="11">
        <v>-1.1000000000000001</v>
      </c>
      <c r="G1809" s="11" t="s">
        <v>4</v>
      </c>
      <c r="H1809" s="13">
        <v>3000</v>
      </c>
      <c r="I1809" s="14">
        <f t="shared" si="65"/>
        <v>4.3965900000000377E-2</v>
      </c>
      <c r="J1809" s="13">
        <f t="shared" si="66"/>
        <v>203508.98999999993</v>
      </c>
    </row>
    <row r="1810" spans="1:10" x14ac:dyDescent="0.25">
      <c r="A1810" s="10">
        <v>41971</v>
      </c>
      <c r="B1810" s="11" t="s">
        <v>8</v>
      </c>
      <c r="C1810" s="11" t="s">
        <v>5</v>
      </c>
      <c r="D1810" s="16" t="str">
        <f>HYPERLINK("https://freddywills.com/pick/796/northern-ill-8.html", "Northern Ill +8")</f>
        <v>Northern Ill +8</v>
      </c>
      <c r="E1810" s="11">
        <v>4.4000000000000004</v>
      </c>
      <c r="F1810" s="11">
        <v>-1.1000000000000001</v>
      </c>
      <c r="G1810" s="11" t="s">
        <v>4</v>
      </c>
      <c r="H1810" s="13">
        <v>4000</v>
      </c>
      <c r="I1810" s="14">
        <f t="shared" si="65"/>
        <v>1.3965900000000378E-2</v>
      </c>
      <c r="J1810" s="13">
        <f t="shared" si="66"/>
        <v>200508.98999999993</v>
      </c>
    </row>
    <row r="1811" spans="1:10" x14ac:dyDescent="0.25">
      <c r="A1811" s="10">
        <v>41971</v>
      </c>
      <c r="B1811" s="11" t="s">
        <v>8</v>
      </c>
      <c r="C1811" s="11" t="s">
        <v>5</v>
      </c>
      <c r="D1811" s="16" t="str">
        <f>HYPERLINK("https://freddywills.com/pick/797/iowa-pk.html", "Iowa pk")</f>
        <v>Iowa pk</v>
      </c>
      <c r="E1811" s="11">
        <v>3.3</v>
      </c>
      <c r="F1811" s="11">
        <v>-1.1000000000000001</v>
      </c>
      <c r="G1811" s="11" t="s">
        <v>6</v>
      </c>
      <c r="H1811" s="13">
        <v>-3300</v>
      </c>
      <c r="I1811" s="14">
        <f t="shared" si="65"/>
        <v>-2.6034099999999623E-2</v>
      </c>
      <c r="J1811" s="13">
        <f t="shared" si="66"/>
        <v>196508.98999999993</v>
      </c>
    </row>
    <row r="1812" spans="1:10" x14ac:dyDescent="0.25">
      <c r="A1812" s="10">
        <v>41971</v>
      </c>
      <c r="B1812" s="11" t="s">
        <v>8</v>
      </c>
      <c r="C1812" s="11" t="s">
        <v>5</v>
      </c>
      <c r="D1812" s="16" t="str">
        <f>HYPERLINK("https://freddywills.com/pick/798/arkansas-2-5.html", "Arkansas -2.5")</f>
        <v>Arkansas -2.5</v>
      </c>
      <c r="E1812" s="11">
        <v>5.5</v>
      </c>
      <c r="F1812" s="11">
        <v>-1.1000000000000001</v>
      </c>
      <c r="G1812" s="11" t="s">
        <v>6</v>
      </c>
      <c r="H1812" s="13">
        <v>-5500</v>
      </c>
      <c r="I1812" s="14">
        <f t="shared" si="65"/>
        <v>6.9659000000003787E-3</v>
      </c>
      <c r="J1812" s="13">
        <f t="shared" si="66"/>
        <v>199808.98999999993</v>
      </c>
    </row>
    <row r="1813" spans="1:10" x14ac:dyDescent="0.25">
      <c r="A1813" s="10">
        <v>41971</v>
      </c>
      <c r="B1813" s="11" t="s">
        <v>8</v>
      </c>
      <c r="C1813" s="11" t="s">
        <v>10</v>
      </c>
      <c r="D1813" s="16" t="str">
        <f>HYPERLINK("https://freddywills.com/pick/799/arizona-st-8-5-stanford-12-5.html", "Arizona St +8.5|Stanford +12.5")</f>
        <v>Arizona St +8.5|Stanford +12.5</v>
      </c>
      <c r="E1813" s="11">
        <v>3.3</v>
      </c>
      <c r="F1813" s="11">
        <v>-1.1000000000000001</v>
      </c>
      <c r="G1813" s="11" t="s">
        <v>4</v>
      </c>
      <c r="H1813" s="13">
        <v>3000</v>
      </c>
      <c r="I1813" s="14">
        <f t="shared" si="65"/>
        <v>6.1965900000000379E-2</v>
      </c>
      <c r="J1813" s="13">
        <f t="shared" si="66"/>
        <v>205308.98999999993</v>
      </c>
    </row>
    <row r="1814" spans="1:10" x14ac:dyDescent="0.25">
      <c r="A1814" s="10">
        <v>41970</v>
      </c>
      <c r="B1814" s="11" t="s">
        <v>8</v>
      </c>
      <c r="C1814" s="11" t="s">
        <v>5</v>
      </c>
      <c r="D1814" s="16" t="str">
        <f>HYPERLINK("https://freddywills.com/pick/800/lsu-2-5-120.html", "LSU -2.5 -120")</f>
        <v>LSU -2.5 -120</v>
      </c>
      <c r="E1814" s="11">
        <v>5.5</v>
      </c>
      <c r="F1814" s="11">
        <v>-1.2</v>
      </c>
      <c r="G1814" s="11" t="s">
        <v>4</v>
      </c>
      <c r="H1814" s="13">
        <v>4583.33</v>
      </c>
      <c r="I1814" s="14">
        <f t="shared" si="65"/>
        <v>3.196590000000038E-2</v>
      </c>
      <c r="J1814" s="13">
        <f t="shared" si="66"/>
        <v>202308.98999999993</v>
      </c>
    </row>
    <row r="1815" spans="1:10" x14ac:dyDescent="0.25">
      <c r="A1815" s="10">
        <v>41970</v>
      </c>
      <c r="B1815" s="11" t="s">
        <v>8</v>
      </c>
      <c r="C1815" s="11" t="s">
        <v>5</v>
      </c>
      <c r="D1815" s="16" t="str">
        <f>HYPERLINK("https://freddywills.com/pick/801/texas-7.html", "Texas +7")</f>
        <v>Texas +7</v>
      </c>
      <c r="E1815" s="11">
        <v>3.3</v>
      </c>
      <c r="F1815" s="11">
        <v>-1.1000000000000001</v>
      </c>
      <c r="G1815" s="11" t="s">
        <v>6</v>
      </c>
      <c r="H1815" s="13">
        <v>-3300</v>
      </c>
      <c r="I1815" s="14">
        <f t="shared" si="65"/>
        <v>-1.386739999999962E-2</v>
      </c>
      <c r="J1815" s="13">
        <f t="shared" si="66"/>
        <v>197725.65999999995</v>
      </c>
    </row>
    <row r="1816" spans="1:10" x14ac:dyDescent="0.25">
      <c r="A1816" s="10">
        <v>41970</v>
      </c>
      <c r="B1816" s="11" t="s">
        <v>2</v>
      </c>
      <c r="C1816" s="11" t="s">
        <v>10</v>
      </c>
      <c r="D1816" s="16" t="str">
        <f>HYPERLINK("https://freddywills.com/pick/802/lions-1-u53-5.html", "Lions -1 / U53.5")</f>
        <v>Lions -1 / U53.5</v>
      </c>
      <c r="E1816" s="11">
        <v>3.3</v>
      </c>
      <c r="F1816" s="11">
        <v>-1.1000000000000001</v>
      </c>
      <c r="G1816" s="11" t="s">
        <v>4</v>
      </c>
      <c r="H1816" s="13">
        <v>3000</v>
      </c>
      <c r="I1816" s="14">
        <f t="shared" si="65"/>
        <v>1.9132600000000381E-2</v>
      </c>
      <c r="J1816" s="13">
        <f t="shared" si="66"/>
        <v>201025.65999999995</v>
      </c>
    </row>
    <row r="1817" spans="1:10" x14ac:dyDescent="0.25">
      <c r="A1817" s="10">
        <v>41970</v>
      </c>
      <c r="B1817" s="11" t="s">
        <v>2</v>
      </c>
      <c r="C1817" s="11" t="s">
        <v>5</v>
      </c>
      <c r="D1817" s="16" t="str">
        <f>HYPERLINK("https://freddywills.com/pick/803/cowboys-3.html", "Cowboys -3")</f>
        <v>Cowboys -3</v>
      </c>
      <c r="E1817" s="11">
        <v>5.5</v>
      </c>
      <c r="F1817" s="11">
        <v>-1.1000000000000001</v>
      </c>
      <c r="G1817" s="11" t="s">
        <v>6</v>
      </c>
      <c r="H1817" s="13">
        <v>-5500</v>
      </c>
      <c r="I1817" s="14">
        <f t="shared" si="65"/>
        <v>-1.0867399999999618E-2</v>
      </c>
      <c r="J1817" s="13">
        <f t="shared" si="66"/>
        <v>198025.65999999995</v>
      </c>
    </row>
    <row r="1818" spans="1:10" x14ac:dyDescent="0.25">
      <c r="A1818" s="10">
        <v>41970</v>
      </c>
      <c r="B1818" s="11" t="s">
        <v>2</v>
      </c>
      <c r="C1818" s="11" t="s">
        <v>5</v>
      </c>
      <c r="D1818" s="16" t="str">
        <f>HYPERLINK("https://freddywills.com/pick/804/49ers-1.html", "49ers -1")</f>
        <v>49ers -1</v>
      </c>
      <c r="E1818" s="11">
        <v>1.1000000000000001</v>
      </c>
      <c r="F1818" s="11">
        <v>-1.1000000000000001</v>
      </c>
      <c r="G1818" s="11" t="s">
        <v>6</v>
      </c>
      <c r="H1818" s="13">
        <v>-1100</v>
      </c>
      <c r="I1818" s="14">
        <f t="shared" si="65"/>
        <v>4.4132600000000383E-2</v>
      </c>
      <c r="J1818" s="13">
        <f t="shared" si="66"/>
        <v>203525.65999999995</v>
      </c>
    </row>
    <row r="1819" spans="1:10" x14ac:dyDescent="0.25">
      <c r="A1819" s="10">
        <v>41968</v>
      </c>
      <c r="B1819" s="11" t="s">
        <v>8</v>
      </c>
      <c r="C1819" s="11" t="s">
        <v>5</v>
      </c>
      <c r="D1819" s="16" t="str">
        <f>HYPERLINK("https://freddywills.com/pick/805/miami-oh-3-5.html", "Miami (OH) +3.5")</f>
        <v>Miami (OH) +3.5</v>
      </c>
      <c r="E1819" s="11">
        <v>3.3</v>
      </c>
      <c r="F1819" s="11">
        <v>-1.1000000000000001</v>
      </c>
      <c r="G1819" s="11" t="s">
        <v>4</v>
      </c>
      <c r="H1819" s="13">
        <v>3000</v>
      </c>
      <c r="I1819" s="14">
        <f t="shared" si="65"/>
        <v>5.5132600000000385E-2</v>
      </c>
      <c r="J1819" s="13">
        <f t="shared" si="66"/>
        <v>204625.65999999995</v>
      </c>
    </row>
    <row r="1820" spans="1:10" x14ac:dyDescent="0.25">
      <c r="A1820" s="10">
        <v>41966</v>
      </c>
      <c r="B1820" s="11" t="s">
        <v>2</v>
      </c>
      <c r="C1820" s="11" t="s">
        <v>5</v>
      </c>
      <c r="D1820" s="16" t="str">
        <f>HYPERLINK("https://freddywills.com/pick/806/hou-texans-1-5-105.html", "HOU Texans -1.5 -105")</f>
        <v>HOU Texans -1.5 -105</v>
      </c>
      <c r="E1820" s="11">
        <v>5.5</v>
      </c>
      <c r="F1820" s="11">
        <v>-1.05</v>
      </c>
      <c r="G1820" s="11" t="s">
        <v>6</v>
      </c>
      <c r="H1820" s="13">
        <v>-5500</v>
      </c>
      <c r="I1820" s="14">
        <f t="shared" si="65"/>
        <v>2.5132600000000387E-2</v>
      </c>
      <c r="J1820" s="13">
        <f t="shared" si="66"/>
        <v>201625.65999999995</v>
      </c>
    </row>
    <row r="1821" spans="1:10" x14ac:dyDescent="0.25">
      <c r="A1821" s="10">
        <v>41965</v>
      </c>
      <c r="B1821" s="11" t="s">
        <v>8</v>
      </c>
      <c r="C1821" s="11" t="s">
        <v>18</v>
      </c>
      <c r="D1821" s="16" t="str">
        <f>HYPERLINK("https://freddywills.com/pick/807/c-mich-105.html", "C. Mich +105")</f>
        <v>C. Mich +105</v>
      </c>
      <c r="E1821" s="11">
        <v>3</v>
      </c>
      <c r="F1821" s="11">
        <v>1.05</v>
      </c>
      <c r="G1821" s="11" t="s">
        <v>6</v>
      </c>
      <c r="H1821" s="13">
        <v>-3000</v>
      </c>
      <c r="I1821" s="14">
        <f t="shared" si="65"/>
        <v>8.0132600000000387E-2</v>
      </c>
      <c r="J1821" s="13">
        <f t="shared" si="66"/>
        <v>207125.65999999995</v>
      </c>
    </row>
    <row r="1822" spans="1:10" x14ac:dyDescent="0.25">
      <c r="A1822" s="10">
        <v>41965</v>
      </c>
      <c r="B1822" s="11" t="s">
        <v>8</v>
      </c>
      <c r="C1822" s="11" t="s">
        <v>7</v>
      </c>
      <c r="D1822" s="16" t="str">
        <f>HYPERLINK("https://freddywills.com/pick/808/miss-arkansas-u46.html", "Miss/Arkansas U46")</f>
        <v>Miss/Arkansas U46</v>
      </c>
      <c r="E1822" s="11">
        <v>3.3</v>
      </c>
      <c r="F1822" s="11">
        <v>-1.1000000000000001</v>
      </c>
      <c r="G1822" s="11" t="s">
        <v>4</v>
      </c>
      <c r="H1822" s="13">
        <v>3000</v>
      </c>
      <c r="I1822" s="14">
        <f t="shared" si="65"/>
        <v>0.11013260000000039</v>
      </c>
      <c r="J1822" s="13">
        <f t="shared" si="66"/>
        <v>210125.65999999995</v>
      </c>
    </row>
    <row r="1823" spans="1:10" x14ac:dyDescent="0.25">
      <c r="A1823" s="10">
        <v>41965</v>
      </c>
      <c r="B1823" s="11" t="s">
        <v>8</v>
      </c>
      <c r="C1823" s="11" t="s">
        <v>5</v>
      </c>
      <c r="D1823" s="16" t="str">
        <f>HYPERLINK("https://freddywills.com/pick/809/syracuse-7-5.html", "Syracuse +7.5")</f>
        <v>Syracuse +7.5</v>
      </c>
      <c r="E1823" s="11">
        <v>2.2000000000000002</v>
      </c>
      <c r="F1823" s="11">
        <v>-1.1000000000000001</v>
      </c>
      <c r="G1823" s="11" t="s">
        <v>6</v>
      </c>
      <c r="H1823" s="13">
        <v>-2200</v>
      </c>
      <c r="I1823" s="14">
        <f t="shared" si="65"/>
        <v>8.0132600000000387E-2</v>
      </c>
      <c r="J1823" s="13">
        <f t="shared" si="66"/>
        <v>207125.65999999995</v>
      </c>
    </row>
    <row r="1824" spans="1:10" x14ac:dyDescent="0.25">
      <c r="A1824" s="10">
        <v>41965</v>
      </c>
      <c r="B1824" s="11" t="s">
        <v>8</v>
      </c>
      <c r="C1824" s="11" t="s">
        <v>5</v>
      </c>
      <c r="D1824" s="16" t="str">
        <f>HYPERLINK("https://freddywills.com/pick/810/usc-4.html", "USC +4")</f>
        <v>USC +4</v>
      </c>
      <c r="E1824" s="11">
        <v>4.4000000000000004</v>
      </c>
      <c r="F1824" s="11">
        <v>-1.1000000000000001</v>
      </c>
      <c r="G1824" s="11" t="s">
        <v>6</v>
      </c>
      <c r="H1824" s="13">
        <v>-4400</v>
      </c>
      <c r="I1824" s="14">
        <f t="shared" si="65"/>
        <v>0.10213260000000039</v>
      </c>
      <c r="J1824" s="13">
        <f t="shared" si="66"/>
        <v>209325.65999999995</v>
      </c>
    </row>
    <row r="1825" spans="1:10" x14ac:dyDescent="0.25">
      <c r="A1825" s="10">
        <v>41965</v>
      </c>
      <c r="B1825" s="11" t="s">
        <v>8</v>
      </c>
      <c r="C1825" s="11" t="s">
        <v>10</v>
      </c>
      <c r="D1825" s="16" t="str">
        <f>HYPERLINK("https://freddywills.com/pick/811/washington-0-5-stanford-0-5.html", "Washington -0.5|Stanford +0.5")</f>
        <v>Washington -0.5|Stanford +0.5</v>
      </c>
      <c r="E1825" s="11">
        <v>4.4000000000000004</v>
      </c>
      <c r="F1825" s="11">
        <v>-1.1000000000000001</v>
      </c>
      <c r="G1825" s="11" t="s">
        <v>4</v>
      </c>
      <c r="H1825" s="13">
        <v>4000</v>
      </c>
      <c r="I1825" s="14">
        <f t="shared" si="65"/>
        <v>0.14613260000000039</v>
      </c>
      <c r="J1825" s="13">
        <f t="shared" si="66"/>
        <v>213725.65999999995</v>
      </c>
    </row>
    <row r="1826" spans="1:10" x14ac:dyDescent="0.25">
      <c r="A1826" s="10">
        <v>41965</v>
      </c>
      <c r="B1826" s="11" t="s">
        <v>8</v>
      </c>
      <c r="C1826" s="11" t="s">
        <v>5</v>
      </c>
      <c r="D1826" s="16" t="str">
        <f>HYPERLINK("https://freddywills.com/pick/812/purdue.html", "Purdue")</f>
        <v>Purdue</v>
      </c>
      <c r="E1826" s="11">
        <v>1.1000000000000001</v>
      </c>
      <c r="F1826" s="11">
        <v>-1.1000000000000001</v>
      </c>
      <c r="G1826" s="11" t="s">
        <v>6</v>
      </c>
      <c r="H1826" s="13">
        <v>-1100</v>
      </c>
      <c r="I1826" s="14">
        <f t="shared" si="65"/>
        <v>0.1061326000000004</v>
      </c>
      <c r="J1826" s="13">
        <f t="shared" si="66"/>
        <v>209725.65999999995</v>
      </c>
    </row>
    <row r="1827" spans="1:10" x14ac:dyDescent="0.25">
      <c r="A1827" s="10">
        <v>41964</v>
      </c>
      <c r="B1827" s="11" t="s">
        <v>8</v>
      </c>
      <c r="C1827" s="11" t="s">
        <v>5</v>
      </c>
      <c r="D1827" s="16" t="str">
        <f>HYPERLINK("https://freddywills.com/pick/813/utep-8.html", "UTEP +8")</f>
        <v>UTEP +8</v>
      </c>
      <c r="E1827" s="11">
        <v>3.3</v>
      </c>
      <c r="F1827" s="11">
        <v>-1.1000000000000001</v>
      </c>
      <c r="G1827" s="11" t="s">
        <v>6</v>
      </c>
      <c r="H1827" s="13">
        <v>-3300</v>
      </c>
      <c r="I1827" s="14">
        <f t="shared" si="65"/>
        <v>0.11713260000000039</v>
      </c>
      <c r="J1827" s="13">
        <f t="shared" si="66"/>
        <v>210825.65999999995</v>
      </c>
    </row>
    <row r="1828" spans="1:10" x14ac:dyDescent="0.25">
      <c r="A1828" s="10">
        <v>41963</v>
      </c>
      <c r="B1828" s="11" t="s">
        <v>8</v>
      </c>
      <c r="C1828" s="11" t="s">
        <v>5</v>
      </c>
      <c r="D1828" s="16" t="str">
        <f>HYPERLINK("https://freddywills.com/pick/814/kansas-st-3-115.html", "Kansas St +3 -115")</f>
        <v>Kansas St +3 -115</v>
      </c>
      <c r="E1828" s="11">
        <v>5</v>
      </c>
      <c r="F1828" s="11">
        <v>-1.1000000000000001</v>
      </c>
      <c r="G1828" s="11" t="s">
        <v>4</v>
      </c>
      <c r="H1828" s="13">
        <v>4545.45</v>
      </c>
      <c r="I1828" s="14">
        <f t="shared" si="65"/>
        <v>0.15013260000000039</v>
      </c>
      <c r="J1828" s="13">
        <f t="shared" si="66"/>
        <v>214125.65999999995</v>
      </c>
    </row>
    <row r="1829" spans="1:10" x14ac:dyDescent="0.25">
      <c r="A1829" s="10">
        <v>41963</v>
      </c>
      <c r="B1829" s="11" t="s">
        <v>8</v>
      </c>
      <c r="C1829" s="11" t="s">
        <v>5</v>
      </c>
      <c r="D1829" s="16" t="str">
        <f>HYPERLINK("https://freddywills.com/pick/815/ark-st-5-5.html", "Ark St -5.5")</f>
        <v>Ark St -5.5</v>
      </c>
      <c r="E1829" s="11">
        <v>1.1000000000000001</v>
      </c>
      <c r="F1829" s="11">
        <v>-1.1000000000000001</v>
      </c>
      <c r="G1829" s="11" t="s">
        <v>6</v>
      </c>
      <c r="H1829" s="13">
        <v>-1100</v>
      </c>
      <c r="I1829" s="14">
        <f t="shared" si="65"/>
        <v>0.1046781000000004</v>
      </c>
      <c r="J1829" s="13">
        <f t="shared" si="66"/>
        <v>209580.20999999993</v>
      </c>
    </row>
    <row r="1830" spans="1:10" x14ac:dyDescent="0.25">
      <c r="A1830" s="10">
        <v>41963</v>
      </c>
      <c r="B1830" s="11" t="s">
        <v>2</v>
      </c>
      <c r="C1830" s="11" t="s">
        <v>5</v>
      </c>
      <c r="D1830" s="16" t="str">
        <f>HYPERLINK("https://freddywills.com/pick/816/raiders-7-5.html", "Raiders +7.5")</f>
        <v>Raiders +7.5</v>
      </c>
      <c r="E1830" s="11">
        <v>4.4000000000000004</v>
      </c>
      <c r="F1830" s="11">
        <v>-1.1000000000000001</v>
      </c>
      <c r="G1830" s="11" t="s">
        <v>4</v>
      </c>
      <c r="H1830" s="13">
        <v>4000</v>
      </c>
      <c r="I1830" s="14">
        <f t="shared" si="65"/>
        <v>0.11567810000000039</v>
      </c>
      <c r="J1830" s="13">
        <f t="shared" si="66"/>
        <v>210680.20999999993</v>
      </c>
    </row>
    <row r="1831" spans="1:10" x14ac:dyDescent="0.25">
      <c r="A1831" s="10">
        <v>41963</v>
      </c>
      <c r="B1831" s="11" t="s">
        <v>2</v>
      </c>
      <c r="C1831" s="11" t="s">
        <v>18</v>
      </c>
      <c r="D1831" s="16" t="str">
        <f>HYPERLINK("https://freddywills.com/pick/817/raiders-295.html", "Raiders +295")</f>
        <v>Raiders +295</v>
      </c>
      <c r="E1831" s="11">
        <v>1</v>
      </c>
      <c r="F1831" s="11">
        <v>2.95</v>
      </c>
      <c r="G1831" s="11" t="s">
        <v>4</v>
      </c>
      <c r="H1831" s="13">
        <v>2950</v>
      </c>
      <c r="I1831" s="14">
        <f t="shared" si="65"/>
        <v>7.5678100000000401E-2</v>
      </c>
      <c r="J1831" s="13">
        <f t="shared" si="66"/>
        <v>206680.20999999993</v>
      </c>
    </row>
    <row r="1832" spans="1:10" x14ac:dyDescent="0.25">
      <c r="A1832" s="10">
        <v>41961</v>
      </c>
      <c r="B1832" s="11" t="s">
        <v>8</v>
      </c>
      <c r="C1832" s="11" t="s">
        <v>5</v>
      </c>
      <c r="D1832" s="16" t="str">
        <f>HYPERLINK("https://freddywills.com/pick/818/northern-ill-2-5-106.html", "Northern Ill -2.5 -106")</f>
        <v>Northern Ill -2.5 -106</v>
      </c>
      <c r="E1832" s="11">
        <v>3.5</v>
      </c>
      <c r="F1832" s="11">
        <v>-1.6</v>
      </c>
      <c r="G1832" s="11" t="s">
        <v>4</v>
      </c>
      <c r="H1832" s="13">
        <v>2187.5</v>
      </c>
      <c r="I1832" s="14">
        <f t="shared" si="65"/>
        <v>4.6178100000000402E-2</v>
      </c>
      <c r="J1832" s="13">
        <f t="shared" si="66"/>
        <v>203730.20999999993</v>
      </c>
    </row>
    <row r="1833" spans="1:10" x14ac:dyDescent="0.25">
      <c r="A1833" s="10">
        <v>41960</v>
      </c>
      <c r="B1833" s="11" t="s">
        <v>2</v>
      </c>
      <c r="C1833" s="11" t="s">
        <v>5</v>
      </c>
      <c r="D1833" s="16" t="str">
        <f>HYPERLINK("https://freddywills.com/pick/819/titans-7-110.html", "Titans +7 +110")</f>
        <v>Titans +7 +110</v>
      </c>
      <c r="E1833" s="11">
        <v>3</v>
      </c>
      <c r="F1833" s="11">
        <v>1.1000000000000001</v>
      </c>
      <c r="G1833" s="11" t="s">
        <v>4</v>
      </c>
      <c r="H1833" s="13">
        <v>3300</v>
      </c>
      <c r="I1833" s="14">
        <f t="shared" si="65"/>
        <v>2.4303100000000404E-2</v>
      </c>
      <c r="J1833" s="13">
        <f t="shared" si="66"/>
        <v>201542.70999999993</v>
      </c>
    </row>
    <row r="1834" spans="1:10" x14ac:dyDescent="0.25">
      <c r="A1834" s="10">
        <v>41959</v>
      </c>
      <c r="B1834" s="11" t="s">
        <v>2</v>
      </c>
      <c r="C1834" s="11" t="s">
        <v>5</v>
      </c>
      <c r="D1834" s="16" t="str">
        <f>HYPERLINK("https://freddywills.com/pick/820/seahawks-1-5.html", "Seahawks +1.5")</f>
        <v>Seahawks +1.5</v>
      </c>
      <c r="E1834" s="11">
        <v>5.5</v>
      </c>
      <c r="F1834" s="11">
        <v>-1.1000000000000001</v>
      </c>
      <c r="G1834" s="11" t="s">
        <v>6</v>
      </c>
      <c r="H1834" s="13">
        <v>-5500</v>
      </c>
      <c r="I1834" s="14">
        <f t="shared" si="65"/>
        <v>-8.696899999999598E-3</v>
      </c>
      <c r="J1834" s="13">
        <f t="shared" si="66"/>
        <v>198242.70999999993</v>
      </c>
    </row>
    <row r="1835" spans="1:10" x14ac:dyDescent="0.25">
      <c r="A1835" s="10">
        <v>41959</v>
      </c>
      <c r="B1835" s="11" t="s">
        <v>2</v>
      </c>
      <c r="C1835" s="11" t="s">
        <v>10</v>
      </c>
      <c r="D1835" s="16" t="str">
        <f>HYPERLINK("https://freddywills.com/pick/821/packers-1-saints-1.html", "Packers +1/ Saints -1")</f>
        <v>Packers +1/ Saints -1</v>
      </c>
      <c r="E1835" s="11">
        <v>4.4000000000000004</v>
      </c>
      <c r="F1835" s="11">
        <v>-1.1000000000000001</v>
      </c>
      <c r="G1835" s="11" t="s">
        <v>6</v>
      </c>
      <c r="H1835" s="13">
        <v>-4400</v>
      </c>
      <c r="I1835" s="14">
        <f t="shared" si="65"/>
        <v>4.6303100000000402E-2</v>
      </c>
      <c r="J1835" s="13">
        <f t="shared" si="66"/>
        <v>203742.70999999993</v>
      </c>
    </row>
    <row r="1836" spans="1:10" x14ac:dyDescent="0.25">
      <c r="A1836" s="10">
        <v>41959</v>
      </c>
      <c r="B1836" s="11" t="s">
        <v>2</v>
      </c>
      <c r="C1836" s="11" t="s">
        <v>5</v>
      </c>
      <c r="D1836" s="16" t="str">
        <f>HYPERLINK("https://freddywills.com/pick/822/texans-3-5.html", "Texans +3.5")</f>
        <v>Texans +3.5</v>
      </c>
      <c r="E1836" s="11">
        <v>1.1000000000000001</v>
      </c>
      <c r="F1836" s="11">
        <v>-1.1000000000000001</v>
      </c>
      <c r="G1836" s="11" t="s">
        <v>4</v>
      </c>
      <c r="H1836" s="13">
        <v>1000</v>
      </c>
      <c r="I1836" s="14">
        <f t="shared" si="65"/>
        <v>9.03031000000004E-2</v>
      </c>
      <c r="J1836" s="13">
        <f t="shared" si="66"/>
        <v>208142.70999999993</v>
      </c>
    </row>
    <row r="1837" spans="1:10" x14ac:dyDescent="0.25">
      <c r="A1837" s="10">
        <v>41958</v>
      </c>
      <c r="B1837" s="11" t="s">
        <v>8</v>
      </c>
      <c r="C1837" s="11" t="s">
        <v>5</v>
      </c>
      <c r="D1837" s="16" t="str">
        <f>HYPERLINK("https://freddywills.com/pick/823/army-8.html", "Army +8")</f>
        <v>Army +8</v>
      </c>
      <c r="E1837" s="11">
        <v>1.1000000000000001</v>
      </c>
      <c r="F1837" s="11">
        <v>-1.1000000000000001</v>
      </c>
      <c r="G1837" s="11" t="s">
        <v>6</v>
      </c>
      <c r="H1837" s="13">
        <v>-1100</v>
      </c>
      <c r="I1837" s="14">
        <f t="shared" si="65"/>
        <v>8.0303100000000405E-2</v>
      </c>
      <c r="J1837" s="13">
        <f t="shared" si="66"/>
        <v>207142.70999999993</v>
      </c>
    </row>
    <row r="1838" spans="1:10" x14ac:dyDescent="0.25">
      <c r="A1838" s="10">
        <v>41958</v>
      </c>
      <c r="B1838" s="11" t="s">
        <v>8</v>
      </c>
      <c r="C1838" s="11" t="s">
        <v>5</v>
      </c>
      <c r="D1838" s="16" t="str">
        <f>HYPERLINK("https://freddywills.com/pick/824/unc-2-5.html", "UNC -2.5")</f>
        <v>UNC -2.5</v>
      </c>
      <c r="E1838" s="11">
        <v>2.2000000000000002</v>
      </c>
      <c r="F1838" s="11">
        <v>-1.1000000000000001</v>
      </c>
      <c r="G1838" s="11" t="s">
        <v>4</v>
      </c>
      <c r="H1838" s="13">
        <v>2000</v>
      </c>
      <c r="I1838" s="14">
        <f t="shared" si="65"/>
        <v>9.1303100000000401E-2</v>
      </c>
      <c r="J1838" s="13">
        <f t="shared" si="66"/>
        <v>208242.70999999993</v>
      </c>
    </row>
    <row r="1839" spans="1:10" x14ac:dyDescent="0.25">
      <c r="A1839" s="10">
        <v>41958</v>
      </c>
      <c r="B1839" s="11" t="s">
        <v>8</v>
      </c>
      <c r="C1839" s="11" t="s">
        <v>5</v>
      </c>
      <c r="D1839" s="16" t="str">
        <f>HYPERLINK("https://freddywills.com/pick/825/georgia-2-5.html", "GEORGIA -2.5")</f>
        <v>GEORGIA -2.5</v>
      </c>
      <c r="E1839" s="11">
        <v>2.2000000000000002</v>
      </c>
      <c r="F1839" s="11">
        <v>-1.1000000000000001</v>
      </c>
      <c r="G1839" s="11" t="s">
        <v>4</v>
      </c>
      <c r="H1839" s="13">
        <v>2000</v>
      </c>
      <c r="I1839" s="14">
        <f t="shared" si="65"/>
        <v>7.1303100000000397E-2</v>
      </c>
      <c r="J1839" s="13">
        <f t="shared" si="66"/>
        <v>206242.70999999993</v>
      </c>
    </row>
    <row r="1840" spans="1:10" x14ac:dyDescent="0.25">
      <c r="A1840" s="10">
        <v>41958</v>
      </c>
      <c r="B1840" s="11" t="s">
        <v>8</v>
      </c>
      <c r="C1840" s="11" t="s">
        <v>5</v>
      </c>
      <c r="D1840" s="16" t="str">
        <f>HYPERLINK("https://freddywills.com/pick/826/arkansas-pk-goy.html", "Arkansas pk GOY")</f>
        <v>Arkansas pk GOY</v>
      </c>
      <c r="E1840" s="11">
        <v>5.5</v>
      </c>
      <c r="F1840" s="11">
        <v>-1.1000000000000001</v>
      </c>
      <c r="G1840" s="11" t="s">
        <v>4</v>
      </c>
      <c r="H1840" s="13">
        <v>5000</v>
      </c>
      <c r="I1840" s="14">
        <f t="shared" si="65"/>
        <v>5.13031000000004E-2</v>
      </c>
      <c r="J1840" s="13">
        <f t="shared" si="66"/>
        <v>204242.70999999993</v>
      </c>
    </row>
    <row r="1841" spans="1:10" x14ac:dyDescent="0.25">
      <c r="A1841" s="10">
        <v>41958</v>
      </c>
      <c r="B1841" s="11" t="s">
        <v>8</v>
      </c>
      <c r="C1841" s="11" t="s">
        <v>7</v>
      </c>
      <c r="D1841" s="16" t="str">
        <f>HYPERLINK("https://freddywills.com/pick/827/memphis-tulane-u47-5.html", "Memphis/Tulane U47.5")</f>
        <v>Memphis/Tulane U47.5</v>
      </c>
      <c r="E1841" s="11">
        <v>3.3</v>
      </c>
      <c r="F1841" s="11">
        <v>-1.1000000000000001</v>
      </c>
      <c r="G1841" s="11" t="s">
        <v>4</v>
      </c>
      <c r="H1841" s="13">
        <v>3000</v>
      </c>
      <c r="I1841" s="14">
        <f t="shared" si="65"/>
        <v>1.303100000000397E-3</v>
      </c>
      <c r="J1841" s="13">
        <f t="shared" si="66"/>
        <v>199242.70999999993</v>
      </c>
    </row>
    <row r="1842" spans="1:10" x14ac:dyDescent="0.25">
      <c r="A1842" s="10">
        <v>41958</v>
      </c>
      <c r="B1842" s="11" t="s">
        <v>8</v>
      </c>
      <c r="C1842" s="11" t="s">
        <v>5</v>
      </c>
      <c r="D1842" s="16" t="str">
        <f>HYPERLINK("https://freddywills.com/pick/828/fsu-2-5.html", "FSU -2.5")</f>
        <v>FSU -2.5</v>
      </c>
      <c r="E1842" s="11">
        <v>4.4000000000000004</v>
      </c>
      <c r="F1842" s="11">
        <v>-1.1000000000000001</v>
      </c>
      <c r="G1842" s="11" t="s">
        <v>4</v>
      </c>
      <c r="H1842" s="13">
        <v>4000</v>
      </c>
      <c r="I1842" s="14">
        <f t="shared" si="65"/>
        <v>-2.8696899999999602E-2</v>
      </c>
      <c r="J1842" s="13">
        <f t="shared" si="66"/>
        <v>196242.70999999993</v>
      </c>
    </row>
    <row r="1843" spans="1:10" x14ac:dyDescent="0.25">
      <c r="A1843" s="10">
        <v>41958</v>
      </c>
      <c r="B1843" s="11" t="s">
        <v>8</v>
      </c>
      <c r="C1843" s="11" t="s">
        <v>10</v>
      </c>
      <c r="D1843" s="16" t="str">
        <f>HYPERLINK("https://freddywills.com/pick/829/texas-4-5-bama-2-5-130.html", "Texas +4.5/Bama -2.5 -130")</f>
        <v>Texas +4.5/Bama -2.5 -130</v>
      </c>
      <c r="E1843" s="11">
        <v>4</v>
      </c>
      <c r="F1843" s="11">
        <v>-1.3</v>
      </c>
      <c r="G1843" s="11" t="s">
        <v>4</v>
      </c>
      <c r="H1843" s="13">
        <v>3076.92</v>
      </c>
      <c r="I1843" s="14">
        <f t="shared" si="65"/>
        <v>-6.8696899999999603E-2</v>
      </c>
      <c r="J1843" s="13">
        <f t="shared" si="66"/>
        <v>192242.70999999993</v>
      </c>
    </row>
    <row r="1844" spans="1:10" x14ac:dyDescent="0.25">
      <c r="A1844" s="10">
        <v>41958</v>
      </c>
      <c r="B1844" s="11" t="s">
        <v>8</v>
      </c>
      <c r="C1844" s="11" t="s">
        <v>5</v>
      </c>
      <c r="D1844" s="16" t="str">
        <f>HYPERLINK("https://freddywills.com/pick/830/iowa-3-120.html", "Iowa -3 -120")</f>
        <v>Iowa -3 -120</v>
      </c>
      <c r="E1844" s="11">
        <v>4</v>
      </c>
      <c r="F1844" s="11">
        <v>-1.2</v>
      </c>
      <c r="G1844" s="11" t="s">
        <v>4</v>
      </c>
      <c r="H1844" s="13">
        <v>3333.33</v>
      </c>
      <c r="I1844" s="14">
        <f t="shared" si="65"/>
        <v>-9.9466099999999599E-2</v>
      </c>
      <c r="J1844" s="13">
        <f t="shared" si="66"/>
        <v>189165.78999999992</v>
      </c>
    </row>
    <row r="1845" spans="1:10" x14ac:dyDescent="0.25">
      <c r="A1845" s="10">
        <v>41956</v>
      </c>
      <c r="B1845" s="11" t="s">
        <v>8</v>
      </c>
      <c r="C1845" s="11" t="s">
        <v>5</v>
      </c>
      <c r="D1845" s="16" t="str">
        <f>HYPERLINK("https://freddywills.com/pick/831/cal-14-5.html", "Cal +14.5")</f>
        <v>Cal +14.5</v>
      </c>
      <c r="E1845" s="11">
        <v>3.3</v>
      </c>
      <c r="F1845" s="11">
        <v>-1.1000000000000001</v>
      </c>
      <c r="G1845" s="11" t="s">
        <v>4</v>
      </c>
      <c r="H1845" s="13">
        <v>3000</v>
      </c>
      <c r="I1845" s="14">
        <f t="shared" si="65"/>
        <v>-0.1327993999999996</v>
      </c>
      <c r="J1845" s="13">
        <f t="shared" si="66"/>
        <v>185832.45999999993</v>
      </c>
    </row>
    <row r="1846" spans="1:10" x14ac:dyDescent="0.25">
      <c r="A1846" s="10">
        <v>41956</v>
      </c>
      <c r="B1846" s="11" t="s">
        <v>2</v>
      </c>
      <c r="C1846" s="11" t="s">
        <v>10</v>
      </c>
      <c r="D1846" s="16" t="str">
        <f>HYPERLINK("https://freddywills.com/pick/832/bills-10-5-cinci-7-5.html", "Bills +10.5 / Cinci +7.5")</f>
        <v>Bills +10.5 / Cinci +7.5</v>
      </c>
      <c r="E1846" s="11">
        <v>3.3</v>
      </c>
      <c r="F1846" s="11">
        <v>-1.1000000000000001</v>
      </c>
      <c r="G1846" s="11" t="s">
        <v>6</v>
      </c>
      <c r="H1846" s="13">
        <v>-3300</v>
      </c>
      <c r="I1846" s="14">
        <f t="shared" si="65"/>
        <v>-0.16279939999999959</v>
      </c>
      <c r="J1846" s="13">
        <f t="shared" si="66"/>
        <v>182832.45999999993</v>
      </c>
    </row>
    <row r="1847" spans="1:10" x14ac:dyDescent="0.25">
      <c r="A1847" s="10">
        <v>41954</v>
      </c>
      <c r="B1847" s="11" t="s">
        <v>8</v>
      </c>
      <c r="C1847" s="11" t="s">
        <v>5</v>
      </c>
      <c r="D1847" s="16" t="str">
        <f>HYPERLINK("https://freddywills.com/pick/833/akron-4.html", "Akron -4")</f>
        <v>Akron -4</v>
      </c>
      <c r="E1847" s="11">
        <v>2.2000000000000002</v>
      </c>
      <c r="F1847" s="11">
        <v>-1.1000000000000001</v>
      </c>
      <c r="G1847" s="11" t="s">
        <v>6</v>
      </c>
      <c r="H1847" s="13">
        <v>-2200</v>
      </c>
      <c r="I1847" s="14">
        <f t="shared" si="65"/>
        <v>-0.12979939999999959</v>
      </c>
      <c r="J1847" s="13">
        <f t="shared" si="66"/>
        <v>186132.45999999993</v>
      </c>
    </row>
    <row r="1848" spans="1:10" x14ac:dyDescent="0.25">
      <c r="A1848" s="10">
        <v>41954</v>
      </c>
      <c r="B1848" s="11" t="s">
        <v>8</v>
      </c>
      <c r="C1848" s="11" t="s">
        <v>18</v>
      </c>
      <c r="D1848" s="16" t="str">
        <f>HYPERLINK("https://freddywills.com/pick/834/toledo-185.html", "Toledo +185")</f>
        <v>Toledo +185</v>
      </c>
      <c r="E1848" s="11">
        <v>2</v>
      </c>
      <c r="F1848" s="11">
        <v>1.85</v>
      </c>
      <c r="G1848" s="11" t="s">
        <v>6</v>
      </c>
      <c r="H1848" s="13">
        <v>-2000</v>
      </c>
      <c r="I1848" s="14">
        <f t="shared" si="65"/>
        <v>-0.1077993999999996</v>
      </c>
      <c r="J1848" s="13">
        <f t="shared" si="66"/>
        <v>188332.45999999993</v>
      </c>
    </row>
    <row r="1849" spans="1:10" x14ac:dyDescent="0.25">
      <c r="A1849" s="10">
        <v>41953</v>
      </c>
      <c r="B1849" s="11" t="s">
        <v>2</v>
      </c>
      <c r="C1849" s="11" t="s">
        <v>5</v>
      </c>
      <c r="D1849" s="16" t="str">
        <f>HYPERLINK("https://freddywills.com/pick/835/panthers-7-5.html", "Panthers +7.5")</f>
        <v>Panthers +7.5</v>
      </c>
      <c r="E1849" s="11">
        <v>3.3</v>
      </c>
      <c r="F1849" s="11">
        <v>-1.1000000000000001</v>
      </c>
      <c r="G1849" s="11" t="s">
        <v>6</v>
      </c>
      <c r="H1849" s="13">
        <v>-3300</v>
      </c>
      <c r="I1849" s="14">
        <f t="shared" si="65"/>
        <v>-8.7799399999999597E-2</v>
      </c>
      <c r="J1849" s="13">
        <f t="shared" si="66"/>
        <v>190332.45999999993</v>
      </c>
    </row>
    <row r="1850" spans="1:10" x14ac:dyDescent="0.25">
      <c r="A1850" s="10">
        <v>41952</v>
      </c>
      <c r="B1850" s="11" t="s">
        <v>2</v>
      </c>
      <c r="C1850" s="11" t="s">
        <v>5</v>
      </c>
      <c r="D1850" s="16" t="str">
        <f>HYPERLINK("https://freddywills.com/pick/836/tampa-bay-3.html", "Tampa Bay +3")</f>
        <v>Tampa Bay +3</v>
      </c>
      <c r="E1850" s="11">
        <v>2.2000000000000002</v>
      </c>
      <c r="F1850" s="11">
        <v>-1.1000000000000001</v>
      </c>
      <c r="G1850" s="11" t="s">
        <v>6</v>
      </c>
      <c r="H1850" s="13">
        <v>-2200</v>
      </c>
      <c r="I1850" s="14">
        <f t="shared" si="65"/>
        <v>-5.4799399999999596E-2</v>
      </c>
      <c r="J1850" s="13">
        <f t="shared" si="66"/>
        <v>193632.45999999993</v>
      </c>
    </row>
    <row r="1851" spans="1:10" x14ac:dyDescent="0.25">
      <c r="A1851" s="10">
        <v>41952</v>
      </c>
      <c r="B1851" s="11" t="s">
        <v>2</v>
      </c>
      <c r="C1851" s="11" t="s">
        <v>10</v>
      </c>
      <c r="D1851" s="16" t="str">
        <f>HYPERLINK("https://freddywills.com/pick/837/cards-1-packers-1-5.html", "Cards -1/ Packers -1.5")</f>
        <v>Cards -1/ Packers -1.5</v>
      </c>
      <c r="E1851" s="11">
        <v>4.4000000000000004</v>
      </c>
      <c r="F1851" s="11">
        <v>-1.1000000000000001</v>
      </c>
      <c r="G1851" s="11" t="s">
        <v>4</v>
      </c>
      <c r="H1851" s="13">
        <v>4000</v>
      </c>
      <c r="I1851" s="14">
        <f t="shared" si="65"/>
        <v>-3.2799399999999597E-2</v>
      </c>
      <c r="J1851" s="13">
        <f t="shared" si="66"/>
        <v>195832.45999999993</v>
      </c>
    </row>
    <row r="1852" spans="1:10" x14ac:dyDescent="0.25">
      <c r="A1852" s="10">
        <v>41952</v>
      </c>
      <c r="B1852" s="11" t="s">
        <v>2</v>
      </c>
      <c r="C1852" s="11" t="s">
        <v>5</v>
      </c>
      <c r="D1852" s="16" t="str">
        <f>HYPERLINK("https://freddywills.com/pick/838/bills-1-5.html", "Bills -1.5")</f>
        <v>Bills -1.5</v>
      </c>
      <c r="E1852" s="11">
        <v>5.5</v>
      </c>
      <c r="F1852" s="11">
        <v>-1.1000000000000001</v>
      </c>
      <c r="G1852" s="11" t="s">
        <v>6</v>
      </c>
      <c r="H1852" s="13">
        <v>-5500</v>
      </c>
      <c r="I1852" s="14">
        <f t="shared" ref="I1852:I1915" si="67">(H1852/100000)+I1853</f>
        <v>-7.2799399999999598E-2</v>
      </c>
      <c r="J1852" s="13">
        <f t="shared" ref="J1852:J1915" si="68">H1852+J1853</f>
        <v>191832.45999999993</v>
      </c>
    </row>
    <row r="1853" spans="1:10" x14ac:dyDescent="0.25">
      <c r="A1853" s="10">
        <v>41951</v>
      </c>
      <c r="B1853" s="11" t="s">
        <v>8</v>
      </c>
      <c r="C1853" s="11" t="s">
        <v>5</v>
      </c>
      <c r="D1853" s="16" t="str">
        <f>HYPERLINK("https://freddywills.com/pick/839/baylor-5.html", "Baylor +5")</f>
        <v>Baylor +5</v>
      </c>
      <c r="E1853" s="11">
        <v>1.1000000000000001</v>
      </c>
      <c r="F1853" s="11">
        <v>-1.1000000000000001</v>
      </c>
      <c r="G1853" s="11" t="s">
        <v>4</v>
      </c>
      <c r="H1853" s="13">
        <v>1000</v>
      </c>
      <c r="I1853" s="14">
        <f t="shared" si="67"/>
        <v>-1.7799399999999591E-2</v>
      </c>
      <c r="J1853" s="13">
        <f t="shared" si="68"/>
        <v>197332.45999999993</v>
      </c>
    </row>
    <row r="1854" spans="1:10" x14ac:dyDescent="0.25">
      <c r="A1854" s="10">
        <v>41951</v>
      </c>
      <c r="B1854" s="11" t="s">
        <v>8</v>
      </c>
      <c r="C1854" s="11" t="s">
        <v>10</v>
      </c>
      <c r="D1854" s="16" t="str">
        <f>HYPERLINK("https://freddywills.com/pick/840/baylor-11-nd-8-5.html", "Baylor +11/ ND +8.5")</f>
        <v>Baylor +11/ ND +8.5</v>
      </c>
      <c r="E1854" s="11">
        <v>4.4000000000000004</v>
      </c>
      <c r="F1854" s="11">
        <v>-1.1000000000000001</v>
      </c>
      <c r="G1854" s="11" t="s">
        <v>6</v>
      </c>
      <c r="H1854" s="13">
        <v>-4400</v>
      </c>
      <c r="I1854" s="14">
        <f t="shared" si="67"/>
        <v>-2.7799399999999592E-2</v>
      </c>
      <c r="J1854" s="13">
        <f t="shared" si="68"/>
        <v>196332.45999999993</v>
      </c>
    </row>
    <row r="1855" spans="1:10" x14ac:dyDescent="0.25">
      <c r="A1855" s="10">
        <v>41951</v>
      </c>
      <c r="B1855" s="11" t="s">
        <v>8</v>
      </c>
      <c r="C1855" s="11" t="s">
        <v>5</v>
      </c>
      <c r="D1855" s="16" t="str">
        <f>HYPERLINK("https://freddywills.com/pick/841/texas-3-5.html", "Texas +3.5")</f>
        <v>Texas +3.5</v>
      </c>
      <c r="E1855" s="11">
        <v>3.3</v>
      </c>
      <c r="F1855" s="11">
        <v>-1.1000000000000001</v>
      </c>
      <c r="G1855" s="11" t="s">
        <v>4</v>
      </c>
      <c r="H1855" s="13">
        <v>3000</v>
      </c>
      <c r="I1855" s="14">
        <f t="shared" si="67"/>
        <v>1.6200600000000405E-2</v>
      </c>
      <c r="J1855" s="13">
        <f t="shared" si="68"/>
        <v>200732.45999999993</v>
      </c>
    </row>
    <row r="1856" spans="1:10" x14ac:dyDescent="0.25">
      <c r="A1856" s="10">
        <v>41951</v>
      </c>
      <c r="B1856" s="11" t="s">
        <v>8</v>
      </c>
      <c r="C1856" s="11" t="s">
        <v>5</v>
      </c>
      <c r="D1856" s="16" t="str">
        <f>HYPERLINK("https://freddywills.com/pick/842/kansas-st-6.html", "Kansas St +6")</f>
        <v>Kansas St +6</v>
      </c>
      <c r="E1856" s="11">
        <v>3.3</v>
      </c>
      <c r="F1856" s="11">
        <v>-1.1000000000000001</v>
      </c>
      <c r="G1856" s="11" t="s">
        <v>6</v>
      </c>
      <c r="H1856" s="13">
        <v>-3300</v>
      </c>
      <c r="I1856" s="14">
        <f t="shared" si="67"/>
        <v>-1.3799399999999594E-2</v>
      </c>
      <c r="J1856" s="13">
        <f t="shared" si="68"/>
        <v>197732.45999999993</v>
      </c>
    </row>
    <row r="1857" spans="1:10" x14ac:dyDescent="0.25">
      <c r="A1857" s="10">
        <v>41951</v>
      </c>
      <c r="B1857" s="11" t="s">
        <v>8</v>
      </c>
      <c r="C1857" s="11" t="s">
        <v>5</v>
      </c>
      <c r="D1857" s="16" t="str">
        <f>HYPERLINK("https://freddywills.com/pick/843/alabama-6-5.html", "Alabama -6.5")</f>
        <v>Alabama -6.5</v>
      </c>
      <c r="E1857" s="11">
        <v>4.4000000000000004</v>
      </c>
      <c r="F1857" s="11">
        <v>-1.1000000000000001</v>
      </c>
      <c r="G1857" s="11" t="s">
        <v>4</v>
      </c>
      <c r="H1857" s="13">
        <v>4000</v>
      </c>
      <c r="I1857" s="14">
        <f t="shared" si="67"/>
        <v>1.9200600000000408E-2</v>
      </c>
      <c r="J1857" s="13">
        <f t="shared" si="68"/>
        <v>201032.45999999993</v>
      </c>
    </row>
    <row r="1858" spans="1:10" x14ac:dyDescent="0.25">
      <c r="A1858" s="10">
        <v>41951</v>
      </c>
      <c r="B1858" s="11" t="s">
        <v>8</v>
      </c>
      <c r="C1858" s="11" t="s">
        <v>5</v>
      </c>
      <c r="D1858" s="16" t="str">
        <f>HYPERLINK("https://freddywills.com/pick/844/mich-st-3-120.html", "Mich St -3 -120")</f>
        <v>Mich St -3 -120</v>
      </c>
      <c r="E1858" s="11">
        <v>5.5</v>
      </c>
      <c r="F1858" s="11">
        <v>-1.2</v>
      </c>
      <c r="G1858" s="11" t="s">
        <v>6</v>
      </c>
      <c r="H1858" s="13">
        <v>-5500</v>
      </c>
      <c r="I1858" s="14">
        <f t="shared" si="67"/>
        <v>-2.0799399999999593E-2</v>
      </c>
      <c r="J1858" s="13">
        <f t="shared" si="68"/>
        <v>197032.45999999993</v>
      </c>
    </row>
    <row r="1859" spans="1:10" x14ac:dyDescent="0.25">
      <c r="A1859" s="10">
        <v>41949</v>
      </c>
      <c r="B1859" s="11" t="s">
        <v>8</v>
      </c>
      <c r="C1859" s="11" t="s">
        <v>5</v>
      </c>
      <c r="D1859" s="16" t="str">
        <f>HYPERLINK("https://freddywills.com/pick/846/wake-forest-21-5.html", "Wake Forest +21.5")</f>
        <v>Wake Forest +21.5</v>
      </c>
      <c r="E1859" s="11">
        <v>1.1000000000000001</v>
      </c>
      <c r="F1859" s="11">
        <v>-1.1000000000000001</v>
      </c>
      <c r="G1859" s="11" t="s">
        <v>4</v>
      </c>
      <c r="H1859" s="13">
        <v>1000</v>
      </c>
      <c r="I1859" s="14">
        <f t="shared" si="67"/>
        <v>3.4200600000000407E-2</v>
      </c>
      <c r="J1859" s="13">
        <f t="shared" si="68"/>
        <v>202532.45999999993</v>
      </c>
    </row>
    <row r="1860" spans="1:10" x14ac:dyDescent="0.25">
      <c r="A1860" s="10">
        <v>41948</v>
      </c>
      <c r="B1860" s="11" t="s">
        <v>8</v>
      </c>
      <c r="C1860" s="11" t="s">
        <v>5</v>
      </c>
      <c r="D1860" s="16" t="str">
        <f>HYPERLINK("https://freddywills.com/pick/847/northern-ill-3.html", "Northern ILL -3")</f>
        <v>Northern ILL -3</v>
      </c>
      <c r="E1860" s="11">
        <v>3.3</v>
      </c>
      <c r="F1860" s="11">
        <v>-1.1000000000000001</v>
      </c>
      <c r="G1860" s="11" t="s">
        <v>4</v>
      </c>
      <c r="H1860" s="13">
        <v>3000</v>
      </c>
      <c r="I1860" s="14">
        <f t="shared" si="67"/>
        <v>2.4200600000000405E-2</v>
      </c>
      <c r="J1860" s="13">
        <f t="shared" si="68"/>
        <v>201532.45999999993</v>
      </c>
    </row>
    <row r="1861" spans="1:10" x14ac:dyDescent="0.25">
      <c r="A1861" s="10">
        <v>41947</v>
      </c>
      <c r="B1861" s="11" t="s">
        <v>8</v>
      </c>
      <c r="C1861" s="11" t="s">
        <v>18</v>
      </c>
      <c r="D1861" s="16" t="str">
        <f>HYPERLINK("https://freddywills.com/pick/848/bowling-green-180.html", "Bowling Green +180")</f>
        <v>Bowling Green +180</v>
      </c>
      <c r="E1861" s="11">
        <v>4</v>
      </c>
      <c r="F1861" s="11">
        <v>1.8</v>
      </c>
      <c r="G1861" s="11" t="s">
        <v>4</v>
      </c>
      <c r="H1861" s="13">
        <v>7200</v>
      </c>
      <c r="I1861" s="14">
        <f t="shared" si="67"/>
        <v>-5.7993999999995938E-3</v>
      </c>
      <c r="J1861" s="13">
        <f t="shared" si="68"/>
        <v>198532.45999999993</v>
      </c>
    </row>
    <row r="1862" spans="1:10" x14ac:dyDescent="0.25">
      <c r="A1862" s="10">
        <v>41945</v>
      </c>
      <c r="B1862" s="11" t="s">
        <v>2</v>
      </c>
      <c r="C1862" s="11" t="s">
        <v>5</v>
      </c>
      <c r="D1862" s="16" t="str">
        <f>HYPERLINK("https://freddywills.com/pick/849/jets-10.html", "Jets +10")</f>
        <v>Jets +10</v>
      </c>
      <c r="E1862" s="11">
        <v>5.5</v>
      </c>
      <c r="F1862" s="11">
        <v>-1.1000000000000001</v>
      </c>
      <c r="G1862" s="11" t="s">
        <v>6</v>
      </c>
      <c r="H1862" s="13">
        <v>-5500</v>
      </c>
      <c r="I1862" s="14">
        <f t="shared" si="67"/>
        <v>-7.7799399999999588E-2</v>
      </c>
      <c r="J1862" s="13">
        <f t="shared" si="68"/>
        <v>191332.45999999993</v>
      </c>
    </row>
    <row r="1863" spans="1:10" x14ac:dyDescent="0.25">
      <c r="A1863" s="10">
        <v>41945</v>
      </c>
      <c r="B1863" s="11" t="s">
        <v>2</v>
      </c>
      <c r="C1863" s="11" t="s">
        <v>18</v>
      </c>
      <c r="D1863" s="16" t="str">
        <f>HYPERLINK("https://freddywills.com/pick/850/vikings-105.html", "Vikings -105")</f>
        <v>Vikings -105</v>
      </c>
      <c r="E1863" s="11">
        <v>3.3</v>
      </c>
      <c r="F1863" s="11">
        <v>-1.05</v>
      </c>
      <c r="G1863" s="11" t="s">
        <v>4</v>
      </c>
      <c r="H1863" s="13">
        <v>3142.86</v>
      </c>
      <c r="I1863" s="14">
        <f t="shared" si="67"/>
        <v>-2.2799399999999588E-2</v>
      </c>
      <c r="J1863" s="13">
        <f t="shared" si="68"/>
        <v>196832.45999999993</v>
      </c>
    </row>
    <row r="1864" spans="1:10" x14ac:dyDescent="0.25">
      <c r="A1864" s="10">
        <v>41944</v>
      </c>
      <c r="B1864" s="11" t="s">
        <v>8</v>
      </c>
      <c r="C1864" s="11" t="s">
        <v>10</v>
      </c>
      <c r="D1864" s="16" t="str">
        <f>HYPERLINK("https://freddywills.com/pick/851/duke-9-5-ark-17.html", "Duke +9.5 / Ark +17")</f>
        <v>Duke +9.5 / Ark +17</v>
      </c>
      <c r="E1864" s="11">
        <v>4.4000000000000004</v>
      </c>
      <c r="F1864" s="11">
        <v>-1.1000000000000001</v>
      </c>
      <c r="G1864" s="11" t="s">
        <v>4</v>
      </c>
      <c r="H1864" s="13">
        <v>4000</v>
      </c>
      <c r="I1864" s="14">
        <f t="shared" si="67"/>
        <v>-5.4227999999999589E-2</v>
      </c>
      <c r="J1864" s="13">
        <f t="shared" si="68"/>
        <v>193689.59999999995</v>
      </c>
    </row>
    <row r="1865" spans="1:10" x14ac:dyDescent="0.25">
      <c r="A1865" s="10">
        <v>41944</v>
      </c>
      <c r="B1865" s="11" t="s">
        <v>8</v>
      </c>
      <c r="C1865" s="11" t="s">
        <v>5</v>
      </c>
      <c r="D1865" s="16" t="str">
        <f>HYPERLINK("https://freddywills.com/pick/852/northwestern-4.html", "Northwestern +4")</f>
        <v>Northwestern +4</v>
      </c>
      <c r="E1865" s="11">
        <v>2.2000000000000002</v>
      </c>
      <c r="F1865" s="11">
        <v>-1.1000000000000001</v>
      </c>
      <c r="G1865" s="11" t="s">
        <v>6</v>
      </c>
      <c r="H1865" s="13">
        <v>-2200</v>
      </c>
      <c r="I1865" s="14">
        <f t="shared" si="67"/>
        <v>-9.422799999999959E-2</v>
      </c>
      <c r="J1865" s="13">
        <f t="shared" si="68"/>
        <v>189689.59999999995</v>
      </c>
    </row>
    <row r="1866" spans="1:10" x14ac:dyDescent="0.25">
      <c r="A1866" s="10">
        <v>41944</v>
      </c>
      <c r="B1866" s="11" t="s">
        <v>8</v>
      </c>
      <c r="C1866" s="11" t="s">
        <v>5</v>
      </c>
      <c r="D1866" s="16" t="str">
        <f>HYPERLINK("https://freddywills.com/pick/853/kentucky-8.html", "Kentucky +8")</f>
        <v>Kentucky +8</v>
      </c>
      <c r="E1866" s="11">
        <v>3.3</v>
      </c>
      <c r="F1866" s="11">
        <v>-1.1000000000000001</v>
      </c>
      <c r="G1866" s="11" t="s">
        <v>6</v>
      </c>
      <c r="H1866" s="13">
        <v>-3300</v>
      </c>
      <c r="I1866" s="14">
        <f t="shared" si="67"/>
        <v>-7.2227999999999598E-2</v>
      </c>
      <c r="J1866" s="13">
        <f t="shared" si="68"/>
        <v>191889.59999999995</v>
      </c>
    </row>
    <row r="1867" spans="1:10" x14ac:dyDescent="0.25">
      <c r="A1867" s="10">
        <v>41944</v>
      </c>
      <c r="B1867" s="11" t="s">
        <v>8</v>
      </c>
      <c r="C1867" s="11" t="s">
        <v>5</v>
      </c>
      <c r="D1867" s="16" t="str">
        <f>HYPERLINK("https://freddywills.com/pick/854/ole-miss-2.html", "Ole Miss -2")</f>
        <v>Ole Miss -2</v>
      </c>
      <c r="E1867" s="11">
        <v>4.4000000000000004</v>
      </c>
      <c r="F1867" s="11">
        <v>-1.1000000000000001</v>
      </c>
      <c r="G1867" s="11" t="s">
        <v>6</v>
      </c>
      <c r="H1867" s="13">
        <v>-4400</v>
      </c>
      <c r="I1867" s="14">
        <f t="shared" si="67"/>
        <v>-3.9227999999999603E-2</v>
      </c>
      <c r="J1867" s="13">
        <f t="shared" si="68"/>
        <v>195189.59999999995</v>
      </c>
    </row>
    <row r="1868" spans="1:10" x14ac:dyDescent="0.25">
      <c r="A1868" s="10">
        <v>41944</v>
      </c>
      <c r="B1868" s="11" t="s">
        <v>8</v>
      </c>
      <c r="C1868" s="11" t="s">
        <v>5</v>
      </c>
      <c r="D1868" s="16" t="str">
        <f>HYPERLINK("https://freddywills.com/pick/855/san-jose-6-5.html", "San Jose +6.5")</f>
        <v>San Jose +6.5</v>
      </c>
      <c r="E1868" s="11">
        <v>5.5</v>
      </c>
      <c r="F1868" s="11">
        <v>-1.1000000000000001</v>
      </c>
      <c r="G1868" s="11" t="s">
        <v>6</v>
      </c>
      <c r="H1868" s="13">
        <v>-5500</v>
      </c>
      <c r="I1868" s="14">
        <f t="shared" si="67"/>
        <v>4.772000000000394E-3</v>
      </c>
      <c r="J1868" s="13">
        <f t="shared" si="68"/>
        <v>199589.59999999995</v>
      </c>
    </row>
    <row r="1869" spans="1:10" x14ac:dyDescent="0.25">
      <c r="A1869" s="10">
        <v>41944</v>
      </c>
      <c r="B1869" s="11" t="s">
        <v>8</v>
      </c>
      <c r="C1869" s="11" t="s">
        <v>5</v>
      </c>
      <c r="D1869" s="16" t="str">
        <f>HYPERLINK("https://freddywills.com/pick/856/stanford-8.html", "Stanford +8")</f>
        <v>Stanford +8</v>
      </c>
      <c r="E1869" s="11">
        <v>1.1000000000000001</v>
      </c>
      <c r="F1869" s="11">
        <v>-1.1000000000000001</v>
      </c>
      <c r="G1869" s="11" t="s">
        <v>6</v>
      </c>
      <c r="H1869" s="13">
        <v>-1100</v>
      </c>
      <c r="I1869" s="14">
        <f t="shared" si="67"/>
        <v>5.9772000000000394E-2</v>
      </c>
      <c r="J1869" s="13">
        <f t="shared" si="68"/>
        <v>205089.59999999995</v>
      </c>
    </row>
    <row r="1870" spans="1:10" x14ac:dyDescent="0.25">
      <c r="A1870" s="10">
        <v>41942</v>
      </c>
      <c r="B1870" s="11" t="s">
        <v>8</v>
      </c>
      <c r="C1870" s="11" t="s">
        <v>5</v>
      </c>
      <c r="D1870" s="16" t="str">
        <f>HYPERLINK("https://freddywills.com/pick/857/fsu-3-120.html", "FSU -3 -120")</f>
        <v>FSU -3 -120</v>
      </c>
      <c r="E1870" s="11">
        <v>4</v>
      </c>
      <c r="F1870" s="11">
        <v>-1.2</v>
      </c>
      <c r="G1870" s="11" t="s">
        <v>4</v>
      </c>
      <c r="H1870" s="13">
        <v>3333.33</v>
      </c>
      <c r="I1870" s="14">
        <f t="shared" si="67"/>
        <v>7.077200000000039E-2</v>
      </c>
      <c r="J1870" s="13">
        <f t="shared" si="68"/>
        <v>206189.59999999995</v>
      </c>
    </row>
    <row r="1871" spans="1:10" x14ac:dyDescent="0.25">
      <c r="A1871" s="10">
        <v>41942</v>
      </c>
      <c r="B1871" s="11" t="s">
        <v>2</v>
      </c>
      <c r="C1871" s="11" t="s">
        <v>7</v>
      </c>
      <c r="D1871" s="16" t="str">
        <f>HYPERLINK("https://freddywills.com/pick/858/saints-panthers-u49-5.html", "Saints/Panthers U49.5")</f>
        <v>Saints/Panthers U49.5</v>
      </c>
      <c r="E1871" s="11">
        <v>3.3</v>
      </c>
      <c r="F1871" s="11">
        <v>-1.1000000000000001</v>
      </c>
      <c r="G1871" s="11" t="s">
        <v>4</v>
      </c>
      <c r="H1871" s="13">
        <v>3000</v>
      </c>
      <c r="I1871" s="14">
        <f t="shared" si="67"/>
        <v>3.7438700000000394E-2</v>
      </c>
      <c r="J1871" s="13">
        <f t="shared" si="68"/>
        <v>202856.26999999996</v>
      </c>
    </row>
    <row r="1872" spans="1:10" x14ac:dyDescent="0.25">
      <c r="A1872" s="10">
        <v>41938</v>
      </c>
      <c r="B1872" s="11" t="s">
        <v>2</v>
      </c>
      <c r="C1872" s="11" t="s">
        <v>5</v>
      </c>
      <c r="D1872" s="16" t="str">
        <f>HYPERLINK("https://freddywills.com/pick/861/saints-2-5.html", "Saints -2.5")</f>
        <v>Saints -2.5</v>
      </c>
      <c r="E1872" s="11">
        <v>5.5</v>
      </c>
      <c r="F1872" s="11">
        <v>-1.1000000000000001</v>
      </c>
      <c r="G1872" s="11" t="s">
        <v>4</v>
      </c>
      <c r="H1872" s="13">
        <v>5000</v>
      </c>
      <c r="I1872" s="14">
        <f t="shared" si="67"/>
        <v>7.438700000000395E-3</v>
      </c>
      <c r="J1872" s="13">
        <f t="shared" si="68"/>
        <v>199856.26999999996</v>
      </c>
    </row>
    <row r="1873" spans="1:10" x14ac:dyDescent="0.25">
      <c r="A1873" s="10">
        <v>41937</v>
      </c>
      <c r="B1873" s="11" t="s">
        <v>8</v>
      </c>
      <c r="C1873" s="11" t="s">
        <v>5</v>
      </c>
      <c r="D1873" s="16" t="str">
        <f>HYPERLINK("https://freddywills.com/pick/862/unc-7.html", "UNC +7")</f>
        <v>UNC +7</v>
      </c>
      <c r="E1873" s="11">
        <v>1.1000000000000001</v>
      </c>
      <c r="F1873" s="11">
        <v>-1.1000000000000001</v>
      </c>
      <c r="G1873" s="11" t="s">
        <v>4</v>
      </c>
      <c r="H1873" s="13">
        <v>1000</v>
      </c>
      <c r="I1873" s="14">
        <f t="shared" si="67"/>
        <v>-4.2561299999999608E-2</v>
      </c>
      <c r="J1873" s="13">
        <f t="shared" si="68"/>
        <v>194856.26999999996</v>
      </c>
    </row>
    <row r="1874" spans="1:10" x14ac:dyDescent="0.25">
      <c r="A1874" s="10">
        <v>41937</v>
      </c>
      <c r="B1874" s="11" t="s">
        <v>8</v>
      </c>
      <c r="C1874" s="11" t="s">
        <v>5</v>
      </c>
      <c r="D1874" s="16" t="str">
        <f>HYPERLINK("https://freddywills.com/pick/863/ga-tech-3.html", "GA TEch +3")</f>
        <v>GA TEch +3</v>
      </c>
      <c r="E1874" s="11">
        <v>4.4000000000000004</v>
      </c>
      <c r="F1874" s="11">
        <v>-1.1000000000000001</v>
      </c>
      <c r="G1874" s="11" t="s">
        <v>4</v>
      </c>
      <c r="H1874" s="13">
        <v>4000</v>
      </c>
      <c r="I1874" s="14">
        <f t="shared" si="67"/>
        <v>-5.256129999999961E-2</v>
      </c>
      <c r="J1874" s="13">
        <f t="shared" si="68"/>
        <v>193856.26999999996</v>
      </c>
    </row>
    <row r="1875" spans="1:10" x14ac:dyDescent="0.25">
      <c r="A1875" s="10">
        <v>41937</v>
      </c>
      <c r="B1875" s="11" t="s">
        <v>8</v>
      </c>
      <c r="C1875" s="11" t="s">
        <v>5</v>
      </c>
      <c r="D1875" s="16" t="str">
        <f>HYPERLINK("https://freddywills.com/pick/864/okl-st-1.html", "Okl St -1")</f>
        <v>Okl St -1</v>
      </c>
      <c r="E1875" s="11">
        <v>4.4000000000000004</v>
      </c>
      <c r="F1875" s="11">
        <v>-1.1000000000000001</v>
      </c>
      <c r="G1875" s="11" t="s">
        <v>6</v>
      </c>
      <c r="H1875" s="13">
        <v>-4400</v>
      </c>
      <c r="I1875" s="14">
        <f t="shared" si="67"/>
        <v>-9.2561299999999611E-2</v>
      </c>
      <c r="J1875" s="13">
        <f t="shared" si="68"/>
        <v>189856.26999999996</v>
      </c>
    </row>
    <row r="1876" spans="1:10" x14ac:dyDescent="0.25">
      <c r="A1876" s="10">
        <v>41937</v>
      </c>
      <c r="B1876" s="11" t="s">
        <v>8</v>
      </c>
      <c r="C1876" s="11" t="s">
        <v>5</v>
      </c>
      <c r="D1876" s="16" t="str">
        <f>HYPERLINK("https://freddywills.com/pick/865/mich-17.html", "Mich +17")</f>
        <v>Mich +17</v>
      </c>
      <c r="E1876" s="11">
        <v>2.2000000000000002</v>
      </c>
      <c r="F1876" s="11">
        <v>-1.1000000000000001</v>
      </c>
      <c r="G1876" s="11" t="s">
        <v>6</v>
      </c>
      <c r="H1876" s="13">
        <v>-2200</v>
      </c>
      <c r="I1876" s="14">
        <f t="shared" si="67"/>
        <v>-4.8561299999999613E-2</v>
      </c>
      <c r="J1876" s="13">
        <f t="shared" si="68"/>
        <v>194256.26999999996</v>
      </c>
    </row>
    <row r="1877" spans="1:10" x14ac:dyDescent="0.25">
      <c r="A1877" s="10">
        <v>41937</v>
      </c>
      <c r="B1877" s="11" t="s">
        <v>8</v>
      </c>
      <c r="C1877" s="11" t="s">
        <v>5</v>
      </c>
      <c r="D1877" s="16" t="str">
        <f>HYPERLINK("https://freddywills.com/pick/866/texas-10.html", "Texas +10")</f>
        <v>Texas +10</v>
      </c>
      <c r="E1877" s="11">
        <v>4.4000000000000004</v>
      </c>
      <c r="F1877" s="11">
        <v>-1.1000000000000001</v>
      </c>
      <c r="G1877" s="11" t="s">
        <v>6</v>
      </c>
      <c r="H1877" s="13">
        <v>-4400</v>
      </c>
      <c r="I1877" s="14">
        <f t="shared" si="67"/>
        <v>-2.6561299999999614E-2</v>
      </c>
      <c r="J1877" s="13">
        <f t="shared" si="68"/>
        <v>196456.26999999996</v>
      </c>
    </row>
    <row r="1878" spans="1:10" x14ac:dyDescent="0.25">
      <c r="A1878" s="10">
        <v>41937</v>
      </c>
      <c r="B1878" s="11" t="s">
        <v>8</v>
      </c>
      <c r="C1878" s="11" t="s">
        <v>5</v>
      </c>
      <c r="D1878" s="16" t="str">
        <f>HYPERLINK("https://freddywills.com/pick/867/wash-st-3.html", "Wash St +3")</f>
        <v>Wash St +3</v>
      </c>
      <c r="E1878" s="11">
        <v>5.5</v>
      </c>
      <c r="F1878" s="11">
        <v>-1.1000000000000001</v>
      </c>
      <c r="G1878" s="11" t="s">
        <v>6</v>
      </c>
      <c r="H1878" s="13">
        <v>-5500</v>
      </c>
      <c r="I1878" s="14">
        <f t="shared" si="67"/>
        <v>1.7438700000000383E-2</v>
      </c>
      <c r="J1878" s="13">
        <f t="shared" si="68"/>
        <v>200856.26999999996</v>
      </c>
    </row>
    <row r="1879" spans="1:10" x14ac:dyDescent="0.25">
      <c r="A1879" s="10">
        <v>41936</v>
      </c>
      <c r="B1879" s="11" t="s">
        <v>8</v>
      </c>
      <c r="C1879" s="11" t="s">
        <v>5</v>
      </c>
      <c r="D1879" s="16" t="str">
        <f>HYPERLINK("https://freddywills.com/pick/868/troy-15-108.html", "Troy +15 -108")</f>
        <v>Troy +15 -108</v>
      </c>
      <c r="E1879" s="11">
        <v>3.5</v>
      </c>
      <c r="F1879" s="11">
        <v>-1.08</v>
      </c>
      <c r="G1879" s="11" t="s">
        <v>4</v>
      </c>
      <c r="H1879" s="13">
        <v>3240.74</v>
      </c>
      <c r="I1879" s="14">
        <f t="shared" si="67"/>
        <v>7.2438700000000383E-2</v>
      </c>
      <c r="J1879" s="13">
        <f t="shared" si="68"/>
        <v>206356.26999999996</v>
      </c>
    </row>
    <row r="1880" spans="1:10" x14ac:dyDescent="0.25">
      <c r="A1880" s="10">
        <v>41935</v>
      </c>
      <c r="B1880" s="11" t="s">
        <v>8</v>
      </c>
      <c r="C1880" s="11" t="s">
        <v>5</v>
      </c>
      <c r="D1880" s="16" t="str">
        <f>HYPERLINK("https://freddywills.com/pick/869/vtech-3.html", "Vtech +3")</f>
        <v>Vtech +3</v>
      </c>
      <c r="E1880" s="11">
        <v>4.4000000000000004</v>
      </c>
      <c r="F1880" s="11">
        <v>-1.1000000000000001</v>
      </c>
      <c r="G1880" s="11" t="s">
        <v>6</v>
      </c>
      <c r="H1880" s="13">
        <v>-4400</v>
      </c>
      <c r="I1880" s="14">
        <f t="shared" si="67"/>
        <v>4.003130000000038E-2</v>
      </c>
      <c r="J1880" s="13">
        <f t="shared" si="68"/>
        <v>203115.52999999997</v>
      </c>
    </row>
    <row r="1881" spans="1:10" x14ac:dyDescent="0.25">
      <c r="A1881" s="10">
        <v>41935</v>
      </c>
      <c r="B1881" s="11" t="s">
        <v>2</v>
      </c>
      <c r="C1881" s="11" t="s">
        <v>5</v>
      </c>
      <c r="D1881" s="16" t="str">
        <f>HYPERLINK("https://freddywills.com/pick/870/chargers-9-5.html", "Chargers +9.5")</f>
        <v>Chargers +9.5</v>
      </c>
      <c r="E1881" s="11">
        <v>3.3</v>
      </c>
      <c r="F1881" s="11">
        <v>-1.1000000000000001</v>
      </c>
      <c r="G1881" s="11" t="s">
        <v>6</v>
      </c>
      <c r="H1881" s="13">
        <v>-3300</v>
      </c>
      <c r="I1881" s="14">
        <f t="shared" si="67"/>
        <v>8.4031300000000378E-2</v>
      </c>
      <c r="J1881" s="13">
        <f t="shared" si="68"/>
        <v>207515.52999999997</v>
      </c>
    </row>
    <row r="1882" spans="1:10" x14ac:dyDescent="0.25">
      <c r="A1882" s="10">
        <v>41931</v>
      </c>
      <c r="B1882" s="11" t="s">
        <v>2</v>
      </c>
      <c r="C1882" s="11" t="s">
        <v>5</v>
      </c>
      <c r="D1882" s="16" t="str">
        <f>HYPERLINK("https://freddywills.com/pick/873/chiefs-4.html", "Chiefs+4")</f>
        <v>Chiefs+4</v>
      </c>
      <c r="E1882" s="11">
        <v>1.1000000000000001</v>
      </c>
      <c r="F1882" s="11">
        <v>-1.1000000000000001</v>
      </c>
      <c r="G1882" s="11" t="s">
        <v>4</v>
      </c>
      <c r="H1882" s="13">
        <v>1000</v>
      </c>
      <c r="I1882" s="14">
        <f t="shared" si="67"/>
        <v>0.11703130000000038</v>
      </c>
      <c r="J1882" s="13">
        <f t="shared" si="68"/>
        <v>210815.52999999997</v>
      </c>
    </row>
    <row r="1883" spans="1:10" x14ac:dyDescent="0.25">
      <c r="A1883" s="10">
        <v>41931</v>
      </c>
      <c r="B1883" s="11" t="s">
        <v>2</v>
      </c>
      <c r="C1883" s="11" t="s">
        <v>18</v>
      </c>
      <c r="D1883" s="16" t="str">
        <f>HYPERLINK("https://freddywills.com/pick/874/saints-115.html", "Saints +115")</f>
        <v>Saints +115</v>
      </c>
      <c r="E1883" s="11">
        <v>5.5</v>
      </c>
      <c r="F1883" s="11">
        <v>1.1499999999999999</v>
      </c>
      <c r="G1883" s="11" t="s">
        <v>6</v>
      </c>
      <c r="H1883" s="13">
        <v>-5500</v>
      </c>
      <c r="I1883" s="14">
        <f t="shared" si="67"/>
        <v>0.10703130000000038</v>
      </c>
      <c r="J1883" s="13">
        <f t="shared" si="68"/>
        <v>209815.52999999997</v>
      </c>
    </row>
    <row r="1884" spans="1:10" x14ac:dyDescent="0.25">
      <c r="A1884" s="10">
        <v>41931</v>
      </c>
      <c r="B1884" s="11" t="s">
        <v>2</v>
      </c>
      <c r="C1884" s="11" t="s">
        <v>5</v>
      </c>
      <c r="D1884" s="16" t="str">
        <f>HYPERLINK("https://freddywills.com/pick/875/raiders-4.html", "Raiders +4")</f>
        <v>Raiders +4</v>
      </c>
      <c r="E1884" s="11">
        <v>4.4000000000000004</v>
      </c>
      <c r="F1884" s="11">
        <v>-1.1000000000000001</v>
      </c>
      <c r="G1884" s="11" t="s">
        <v>6</v>
      </c>
      <c r="H1884" s="13">
        <v>-4400</v>
      </c>
      <c r="I1884" s="14">
        <f t="shared" si="67"/>
        <v>0.16203130000000038</v>
      </c>
      <c r="J1884" s="13">
        <f t="shared" si="68"/>
        <v>215315.52999999997</v>
      </c>
    </row>
    <row r="1885" spans="1:10" x14ac:dyDescent="0.25">
      <c r="A1885" s="10">
        <v>41931</v>
      </c>
      <c r="B1885" s="11" t="s">
        <v>2</v>
      </c>
      <c r="C1885" s="11" t="s">
        <v>5</v>
      </c>
      <c r="D1885" s="16" t="str">
        <f>HYPERLINK("https://freddywills.com/pick/876/49ers-7.html", "49ers +7")</f>
        <v>49ers +7</v>
      </c>
      <c r="E1885" s="11">
        <v>3.3</v>
      </c>
      <c r="F1885" s="11">
        <v>-1.1000000000000001</v>
      </c>
      <c r="G1885" s="11" t="s">
        <v>6</v>
      </c>
      <c r="H1885" s="13">
        <v>-3300</v>
      </c>
      <c r="I1885" s="14">
        <f t="shared" si="67"/>
        <v>0.20603130000000036</v>
      </c>
      <c r="J1885" s="13">
        <f t="shared" si="68"/>
        <v>219715.52999999997</v>
      </c>
    </row>
    <row r="1886" spans="1:10" x14ac:dyDescent="0.25">
      <c r="A1886" s="10">
        <v>41930</v>
      </c>
      <c r="B1886" s="11" t="s">
        <v>8</v>
      </c>
      <c r="C1886" s="11" t="s">
        <v>10</v>
      </c>
      <c r="D1886" s="16" t="str">
        <f>HYPERLINK("https://freddywills.com/pick/877/utsa-18-5-asu-10.html", "UTSA +18.5/ ASU +10")</f>
        <v>UTSA +18.5/ ASU +10</v>
      </c>
      <c r="E1886" s="11">
        <v>4.4000000000000004</v>
      </c>
      <c r="F1886" s="11">
        <v>-1.1000000000000001</v>
      </c>
      <c r="G1886" s="11" t="s">
        <v>4</v>
      </c>
      <c r="H1886" s="13">
        <v>4000</v>
      </c>
      <c r="I1886" s="14">
        <f t="shared" si="67"/>
        <v>0.23903130000000036</v>
      </c>
      <c r="J1886" s="13">
        <f t="shared" si="68"/>
        <v>223015.52999999997</v>
      </c>
    </row>
    <row r="1887" spans="1:10" x14ac:dyDescent="0.25">
      <c r="A1887" s="10">
        <v>41930</v>
      </c>
      <c r="B1887" s="11" t="s">
        <v>8</v>
      </c>
      <c r="C1887" s="11" t="s">
        <v>5</v>
      </c>
      <c r="D1887" s="16" t="str">
        <f>HYPERLINK("https://freddywills.com/pick/878/kansas-state-7.html", "Kansas State +7")</f>
        <v>Kansas State +7</v>
      </c>
      <c r="E1887" s="11">
        <v>2.2000000000000002</v>
      </c>
      <c r="F1887" s="11">
        <v>-1.1000000000000001</v>
      </c>
      <c r="G1887" s="11" t="s">
        <v>4</v>
      </c>
      <c r="H1887" s="13">
        <v>2000</v>
      </c>
      <c r="I1887" s="14">
        <f t="shared" si="67"/>
        <v>0.19903130000000036</v>
      </c>
      <c r="J1887" s="13">
        <f t="shared" si="68"/>
        <v>219015.52999999997</v>
      </c>
    </row>
    <row r="1888" spans="1:10" x14ac:dyDescent="0.25">
      <c r="A1888" s="10">
        <v>41930</v>
      </c>
      <c r="B1888" s="11" t="s">
        <v>8</v>
      </c>
      <c r="C1888" s="11" t="s">
        <v>5</v>
      </c>
      <c r="D1888" s="16" t="str">
        <f>HYPERLINK("https://freddywills.com/pick/879/san-jose-1-5.html", "San Jose -1.5")</f>
        <v>San Jose -1.5</v>
      </c>
      <c r="E1888" s="11">
        <v>4.4000000000000004</v>
      </c>
      <c r="F1888" s="11">
        <v>-1.1000000000000001</v>
      </c>
      <c r="G1888" s="11" t="s">
        <v>4</v>
      </c>
      <c r="H1888" s="13">
        <v>4000</v>
      </c>
      <c r="I1888" s="14">
        <f t="shared" si="67"/>
        <v>0.17903130000000037</v>
      </c>
      <c r="J1888" s="13">
        <f t="shared" si="68"/>
        <v>217015.52999999997</v>
      </c>
    </row>
    <row r="1889" spans="1:10" x14ac:dyDescent="0.25">
      <c r="A1889" s="10">
        <v>41930</v>
      </c>
      <c r="B1889" s="11" t="s">
        <v>8</v>
      </c>
      <c r="C1889" s="11" t="s">
        <v>5</v>
      </c>
      <c r="D1889" s="16" t="str">
        <f>HYPERLINK("https://freddywills.com/pick/880/missouri-6-120.html", "Missouri +6 -120")</f>
        <v>Missouri +6 -120</v>
      </c>
      <c r="E1889" s="11">
        <v>4</v>
      </c>
      <c r="F1889" s="11">
        <v>-1.2</v>
      </c>
      <c r="G1889" s="11" t="s">
        <v>4</v>
      </c>
      <c r="H1889" s="13">
        <v>3333.33</v>
      </c>
      <c r="I1889" s="14">
        <f t="shared" si="67"/>
        <v>0.13903130000000036</v>
      </c>
      <c r="J1889" s="13">
        <f t="shared" si="68"/>
        <v>213015.52999999997</v>
      </c>
    </row>
    <row r="1890" spans="1:10" x14ac:dyDescent="0.25">
      <c r="A1890" s="10">
        <v>41930</v>
      </c>
      <c r="B1890" s="11" t="s">
        <v>8</v>
      </c>
      <c r="C1890" s="11" t="s">
        <v>5</v>
      </c>
      <c r="D1890" s="16" t="str">
        <f>HYPERLINK("https://freddywills.com/pick/881/wake-6.html", "Wake +6")</f>
        <v>Wake +6</v>
      </c>
      <c r="E1890" s="11">
        <v>3.3</v>
      </c>
      <c r="F1890" s="11">
        <v>-1.1000000000000001</v>
      </c>
      <c r="G1890" s="11" t="s">
        <v>6</v>
      </c>
      <c r="H1890" s="13">
        <v>-3300</v>
      </c>
      <c r="I1890" s="14">
        <f t="shared" si="67"/>
        <v>0.10569800000000037</v>
      </c>
      <c r="J1890" s="13">
        <f t="shared" si="68"/>
        <v>209682.19999999998</v>
      </c>
    </row>
    <row r="1891" spans="1:10" x14ac:dyDescent="0.25">
      <c r="A1891" s="10">
        <v>41930</v>
      </c>
      <c r="B1891" s="11" t="s">
        <v>8</v>
      </c>
      <c r="C1891" s="11" t="s">
        <v>5</v>
      </c>
      <c r="D1891" s="16" t="str">
        <f>HYPERLINK("https://freddywills.com/pick/882/northwestern-7.html", "Northwestern +7")</f>
        <v>Northwestern +7</v>
      </c>
      <c r="E1891" s="11">
        <v>2.2000000000000002</v>
      </c>
      <c r="F1891" s="11">
        <v>-1.1000000000000001</v>
      </c>
      <c r="G1891" s="11" t="s">
        <v>6</v>
      </c>
      <c r="H1891" s="13">
        <v>-2200</v>
      </c>
      <c r="I1891" s="14">
        <f t="shared" si="67"/>
        <v>0.13869800000000038</v>
      </c>
      <c r="J1891" s="13">
        <f t="shared" si="68"/>
        <v>212982.19999999998</v>
      </c>
    </row>
    <row r="1892" spans="1:10" x14ac:dyDescent="0.25">
      <c r="A1892" s="10">
        <v>41930</v>
      </c>
      <c r="B1892" s="11" t="s">
        <v>8</v>
      </c>
      <c r="C1892" s="11" t="s">
        <v>5</v>
      </c>
      <c r="D1892" s="16" t="str">
        <f>HYPERLINK("https://freddywills.com/pick/883/arkansas-4.html", "Arkansas +4")</f>
        <v>Arkansas +4</v>
      </c>
      <c r="E1892" s="11">
        <v>5.5</v>
      </c>
      <c r="F1892" s="11">
        <v>-1.1000000000000001</v>
      </c>
      <c r="G1892" s="11" t="s">
        <v>6</v>
      </c>
      <c r="H1892" s="13">
        <v>-5500</v>
      </c>
      <c r="I1892" s="14">
        <f t="shared" si="67"/>
        <v>0.16069800000000037</v>
      </c>
      <c r="J1892" s="13">
        <f t="shared" si="68"/>
        <v>215182.19999999998</v>
      </c>
    </row>
    <row r="1893" spans="1:10" x14ac:dyDescent="0.25">
      <c r="A1893" s="10">
        <v>41928</v>
      </c>
      <c r="B1893" s="11" t="s">
        <v>8</v>
      </c>
      <c r="C1893" s="11" t="s">
        <v>18</v>
      </c>
      <c r="D1893" s="16" t="str">
        <f>HYPERLINK("https://freddywills.com/pick/884/vtech-110.html", "Vtech +110")</f>
        <v>Vtech +110</v>
      </c>
      <c r="E1893" s="11">
        <v>3</v>
      </c>
      <c r="F1893" s="11">
        <v>1.1000000000000001</v>
      </c>
      <c r="G1893" s="11" t="s">
        <v>6</v>
      </c>
      <c r="H1893" s="13">
        <v>-3000</v>
      </c>
      <c r="I1893" s="14">
        <f t="shared" si="67"/>
        <v>0.21569800000000036</v>
      </c>
      <c r="J1893" s="13">
        <f t="shared" si="68"/>
        <v>220682.19999999998</v>
      </c>
    </row>
    <row r="1894" spans="1:10" x14ac:dyDescent="0.25">
      <c r="A1894" s="10">
        <v>41928</v>
      </c>
      <c r="B1894" s="11" t="s">
        <v>8</v>
      </c>
      <c r="C1894" s="11" t="s">
        <v>5</v>
      </c>
      <c r="D1894" s="16" t="str">
        <f>HYPERLINK("https://freddywills.com/pick/885/oregon-st-3.html", "Oregon St +3")</f>
        <v>Oregon St +3</v>
      </c>
      <c r="E1894" s="11">
        <v>4.4000000000000004</v>
      </c>
      <c r="F1894" s="11">
        <v>-1.1000000000000001</v>
      </c>
      <c r="G1894" s="11" t="s">
        <v>6</v>
      </c>
      <c r="H1894" s="13">
        <v>-4400</v>
      </c>
      <c r="I1894" s="14">
        <f t="shared" si="67"/>
        <v>0.24569800000000036</v>
      </c>
      <c r="J1894" s="13">
        <f t="shared" si="68"/>
        <v>223682.19999999998</v>
      </c>
    </row>
    <row r="1895" spans="1:10" x14ac:dyDescent="0.25">
      <c r="A1895" s="10">
        <v>41926</v>
      </c>
      <c r="B1895" s="11" t="s">
        <v>8</v>
      </c>
      <c r="C1895" s="11" t="s">
        <v>5</v>
      </c>
      <c r="D1895" s="16" t="str">
        <f>HYPERLINK("https://freddywills.com/pick/887/la-lafayette-3.html", "La Lafayette +3")</f>
        <v>La Lafayette +3</v>
      </c>
      <c r="E1895" s="11">
        <v>4.4000000000000004</v>
      </c>
      <c r="F1895" s="11">
        <v>-1.1000000000000001</v>
      </c>
      <c r="G1895" s="11" t="s">
        <v>4</v>
      </c>
      <c r="H1895" s="13">
        <v>4000</v>
      </c>
      <c r="I1895" s="14">
        <f t="shared" si="67"/>
        <v>0.28969800000000034</v>
      </c>
      <c r="J1895" s="13">
        <f t="shared" si="68"/>
        <v>228082.19999999998</v>
      </c>
    </row>
    <row r="1896" spans="1:10" x14ac:dyDescent="0.25">
      <c r="A1896" s="10">
        <v>41924</v>
      </c>
      <c r="B1896" s="11" t="s">
        <v>2</v>
      </c>
      <c r="C1896" s="11" t="s">
        <v>5</v>
      </c>
      <c r="D1896" s="16" t="str">
        <f>HYPERLINK("https://freddywills.com/pick/888/bills-3.html", "BILLS +3")</f>
        <v>BILLS +3</v>
      </c>
      <c r="E1896" s="11">
        <v>2.2000000000000002</v>
      </c>
      <c r="F1896" s="11">
        <v>-1.1000000000000001</v>
      </c>
      <c r="G1896" s="11" t="s">
        <v>6</v>
      </c>
      <c r="H1896" s="13">
        <v>-2200</v>
      </c>
      <c r="I1896" s="14">
        <f t="shared" si="67"/>
        <v>0.24969800000000034</v>
      </c>
      <c r="J1896" s="13">
        <f t="shared" si="68"/>
        <v>224082.19999999998</v>
      </c>
    </row>
    <row r="1897" spans="1:10" x14ac:dyDescent="0.25">
      <c r="A1897" s="10">
        <v>41924</v>
      </c>
      <c r="B1897" s="11" t="s">
        <v>2</v>
      </c>
      <c r="C1897" s="11" t="s">
        <v>10</v>
      </c>
      <c r="D1897" s="16" t="str">
        <f>HYPERLINK("https://freddywills.com/pick/889/bengals-1-giants.html", "Bengals -1/ Giants +*")</f>
        <v>Bengals -1/ Giants +*</v>
      </c>
      <c r="E1897" s="11">
        <v>4.4000000000000004</v>
      </c>
      <c r="F1897" s="11">
        <v>-1.1000000000000001</v>
      </c>
      <c r="G1897" s="11" t="s">
        <v>6</v>
      </c>
      <c r="H1897" s="13">
        <v>-4400</v>
      </c>
      <c r="I1897" s="14">
        <f t="shared" si="67"/>
        <v>0.27169800000000033</v>
      </c>
      <c r="J1897" s="13">
        <f t="shared" si="68"/>
        <v>226282.19999999998</v>
      </c>
    </row>
    <row r="1898" spans="1:10" x14ac:dyDescent="0.25">
      <c r="A1898" s="10">
        <v>41924</v>
      </c>
      <c r="B1898" s="11" t="s">
        <v>2</v>
      </c>
      <c r="C1898" s="11" t="s">
        <v>5</v>
      </c>
      <c r="D1898" s="16" t="str">
        <f>HYPERLINK("https://freddywills.com/pick/890/falcons-3.html", "Falcons -3")</f>
        <v>Falcons -3</v>
      </c>
      <c r="E1898" s="11">
        <v>5.5</v>
      </c>
      <c r="F1898" s="11">
        <v>-1.1000000000000001</v>
      </c>
      <c r="G1898" s="11" t="s">
        <v>6</v>
      </c>
      <c r="H1898" s="13">
        <v>-5500</v>
      </c>
      <c r="I1898" s="14">
        <f t="shared" si="67"/>
        <v>0.31569800000000031</v>
      </c>
      <c r="J1898" s="13">
        <f t="shared" si="68"/>
        <v>230682.19999999998</v>
      </c>
    </row>
    <row r="1899" spans="1:10" x14ac:dyDescent="0.25">
      <c r="A1899" s="10">
        <v>41923</v>
      </c>
      <c r="B1899" s="11" t="s">
        <v>8</v>
      </c>
      <c r="C1899" s="11" t="s">
        <v>5</v>
      </c>
      <c r="D1899" s="16" t="str">
        <f>HYPERLINK("https://freddywills.com/pick/891/iowa-3.html", "Iowa -3")</f>
        <v>Iowa -3</v>
      </c>
      <c r="E1899" s="11">
        <v>3.3</v>
      </c>
      <c r="F1899" s="11">
        <v>-1.1000000000000001</v>
      </c>
      <c r="G1899" s="11" t="s">
        <v>4</v>
      </c>
      <c r="H1899" s="13">
        <v>3000</v>
      </c>
      <c r="I1899" s="14">
        <f t="shared" si="67"/>
        <v>0.37069800000000031</v>
      </c>
      <c r="J1899" s="13">
        <f t="shared" si="68"/>
        <v>236182.19999999998</v>
      </c>
    </row>
    <row r="1900" spans="1:10" x14ac:dyDescent="0.25">
      <c r="A1900" s="10">
        <v>41923</v>
      </c>
      <c r="B1900" s="11" t="s">
        <v>8</v>
      </c>
      <c r="C1900" s="11" t="s">
        <v>5</v>
      </c>
      <c r="D1900" s="16" t="str">
        <f>HYPERLINK("https://freddywills.com/pick/892/mtsu-24-5.html", "MTSU +24.5")</f>
        <v>MTSU +24.5</v>
      </c>
      <c r="E1900" s="11">
        <v>2.2000000000000002</v>
      </c>
      <c r="F1900" s="11">
        <v>-1.1000000000000001</v>
      </c>
      <c r="G1900" s="11" t="s">
        <v>6</v>
      </c>
      <c r="H1900" s="13">
        <v>-2200</v>
      </c>
      <c r="I1900" s="14">
        <f t="shared" si="67"/>
        <v>0.34069800000000028</v>
      </c>
      <c r="J1900" s="13">
        <f t="shared" si="68"/>
        <v>233182.19999999998</v>
      </c>
    </row>
    <row r="1901" spans="1:10" x14ac:dyDescent="0.25">
      <c r="A1901" s="10">
        <v>41923</v>
      </c>
      <c r="B1901" s="11" t="s">
        <v>8</v>
      </c>
      <c r="C1901" s="11" t="s">
        <v>5</v>
      </c>
      <c r="D1901" s="16" t="str">
        <f>HYPERLINK("https://freddywills.com/pick/893/duke-3-5.html", "DUKE+3.5")</f>
        <v>DUKE+3.5</v>
      </c>
      <c r="E1901" s="11">
        <v>1.1000000000000001</v>
      </c>
      <c r="F1901" s="11">
        <v>-1.1000000000000001</v>
      </c>
      <c r="G1901" s="11" t="s">
        <v>4</v>
      </c>
      <c r="H1901" s="13">
        <v>1000</v>
      </c>
      <c r="I1901" s="14">
        <f t="shared" si="67"/>
        <v>0.3626980000000003</v>
      </c>
      <c r="J1901" s="13">
        <f t="shared" si="68"/>
        <v>235382.19999999998</v>
      </c>
    </row>
    <row r="1902" spans="1:10" x14ac:dyDescent="0.25">
      <c r="A1902" s="10">
        <v>41923</v>
      </c>
      <c r="B1902" s="11" t="s">
        <v>8</v>
      </c>
      <c r="C1902" s="11" t="s">
        <v>5</v>
      </c>
      <c r="D1902" s="16" t="str">
        <f>HYPERLINK("https://freddywills.com/pick/894/tcu-8.html", "TCU +8")</f>
        <v>TCU +8</v>
      </c>
      <c r="E1902" s="11">
        <v>3.3</v>
      </c>
      <c r="F1902" s="11">
        <v>-1.1000000000000001</v>
      </c>
      <c r="G1902" s="11" t="s">
        <v>4</v>
      </c>
      <c r="H1902" s="13">
        <v>3000</v>
      </c>
      <c r="I1902" s="14">
        <f t="shared" si="67"/>
        <v>0.35269800000000029</v>
      </c>
      <c r="J1902" s="13">
        <f t="shared" si="68"/>
        <v>234382.19999999998</v>
      </c>
    </row>
    <row r="1903" spans="1:10" x14ac:dyDescent="0.25">
      <c r="A1903" s="10">
        <v>41923</v>
      </c>
      <c r="B1903" s="11" t="s">
        <v>8</v>
      </c>
      <c r="C1903" s="11" t="s">
        <v>5</v>
      </c>
      <c r="D1903" s="16" t="str">
        <f>HYPERLINK("https://freddywills.com/pick/895/unc-17.html", "UNC +17")</f>
        <v>UNC +17</v>
      </c>
      <c r="E1903" s="11">
        <v>3.3</v>
      </c>
      <c r="F1903" s="11">
        <v>-1.1000000000000001</v>
      </c>
      <c r="G1903" s="11" t="s">
        <v>4</v>
      </c>
      <c r="H1903" s="13">
        <v>3000</v>
      </c>
      <c r="I1903" s="14">
        <f t="shared" si="67"/>
        <v>0.32269800000000026</v>
      </c>
      <c r="J1903" s="13">
        <f t="shared" si="68"/>
        <v>231382.19999999998</v>
      </c>
    </row>
    <row r="1904" spans="1:10" x14ac:dyDescent="0.25">
      <c r="A1904" s="10">
        <v>41923</v>
      </c>
      <c r="B1904" s="11" t="s">
        <v>8</v>
      </c>
      <c r="C1904" s="11" t="s">
        <v>18</v>
      </c>
      <c r="D1904" s="16" t="str">
        <f>HYPERLINK("https://freddywills.com/pick/896/unc-575.html", "UNC +575")</f>
        <v>UNC +575</v>
      </c>
      <c r="E1904" s="11">
        <v>0.5</v>
      </c>
      <c r="F1904" s="11">
        <v>5.75</v>
      </c>
      <c r="G1904" s="11" t="s">
        <v>6</v>
      </c>
      <c r="H1904" s="13">
        <v>-500</v>
      </c>
      <c r="I1904" s="14">
        <f t="shared" si="67"/>
        <v>0.29269800000000024</v>
      </c>
      <c r="J1904" s="13">
        <f t="shared" si="68"/>
        <v>228382.19999999998</v>
      </c>
    </row>
    <row r="1905" spans="1:10" x14ac:dyDescent="0.25">
      <c r="A1905" s="10">
        <v>41923</v>
      </c>
      <c r="B1905" s="11" t="s">
        <v>8</v>
      </c>
      <c r="C1905" s="11" t="s">
        <v>5</v>
      </c>
      <c r="D1905" s="16" t="str">
        <f>HYPERLINK("https://freddywills.com/pick/897/miss-st.html", "MISS ST")</f>
        <v>MISS ST</v>
      </c>
      <c r="E1905" s="11">
        <v>2.2000000000000002</v>
      </c>
      <c r="F1905" s="11">
        <v>-1.1000000000000001</v>
      </c>
      <c r="G1905" s="11" t="s">
        <v>4</v>
      </c>
      <c r="H1905" s="13">
        <v>2000</v>
      </c>
      <c r="I1905" s="14">
        <f t="shared" si="67"/>
        <v>0.29769800000000024</v>
      </c>
      <c r="J1905" s="13">
        <f t="shared" si="68"/>
        <v>228882.19999999998</v>
      </c>
    </row>
    <row r="1906" spans="1:10" x14ac:dyDescent="0.25">
      <c r="A1906" s="10">
        <v>41923</v>
      </c>
      <c r="B1906" s="11" t="s">
        <v>8</v>
      </c>
      <c r="C1906" s="11" t="s">
        <v>5</v>
      </c>
      <c r="D1906" s="16" t="str">
        <f>HYPERLINK("https://freddywills.com/pick/898/usc-2-5.html", "USC -2.5")</f>
        <v>USC -2.5</v>
      </c>
      <c r="E1906" s="11">
        <v>5.5</v>
      </c>
      <c r="F1906" s="11">
        <v>-1.1000000000000001</v>
      </c>
      <c r="G1906" s="11" t="s">
        <v>6</v>
      </c>
      <c r="H1906" s="13">
        <v>-5500</v>
      </c>
      <c r="I1906" s="14">
        <f t="shared" si="67"/>
        <v>0.27769800000000022</v>
      </c>
      <c r="J1906" s="13">
        <f t="shared" si="68"/>
        <v>226882.19999999998</v>
      </c>
    </row>
    <row r="1907" spans="1:10" x14ac:dyDescent="0.25">
      <c r="A1907" s="10">
        <v>41923</v>
      </c>
      <c r="B1907" s="11" t="s">
        <v>8</v>
      </c>
      <c r="C1907" s="11" t="s">
        <v>5</v>
      </c>
      <c r="D1907" s="16" t="str">
        <f>HYPERLINK("https://freddywills.com/pick/899/a-amp-m-2.html", "A&amp;amp;M -2")</f>
        <v>A&amp;amp;M -2</v>
      </c>
      <c r="E1907" s="11">
        <v>4.4000000000000004</v>
      </c>
      <c r="F1907" s="11">
        <v>-1.1000000000000001</v>
      </c>
      <c r="G1907" s="11" t="s">
        <v>6</v>
      </c>
      <c r="H1907" s="13">
        <v>-4400</v>
      </c>
      <c r="I1907" s="14">
        <f t="shared" si="67"/>
        <v>0.33269800000000022</v>
      </c>
      <c r="J1907" s="13">
        <f t="shared" si="68"/>
        <v>232382.19999999998</v>
      </c>
    </row>
    <row r="1908" spans="1:10" x14ac:dyDescent="0.25">
      <c r="A1908" s="10">
        <v>41923</v>
      </c>
      <c r="B1908" s="11" t="s">
        <v>8</v>
      </c>
      <c r="C1908" s="11" t="s">
        <v>5</v>
      </c>
      <c r="D1908" s="16" t="str">
        <f>HYPERLINK("https://freddywills.com/pick/900/penn-st-1.html", "PENN ST +1")</f>
        <v>PENN ST +1</v>
      </c>
      <c r="E1908" s="11">
        <v>3.3</v>
      </c>
      <c r="F1908" s="11">
        <v>-1.1000000000000001</v>
      </c>
      <c r="G1908" s="11" t="s">
        <v>6</v>
      </c>
      <c r="H1908" s="13">
        <v>-3300</v>
      </c>
      <c r="I1908" s="14">
        <f t="shared" si="67"/>
        <v>0.3766980000000002</v>
      </c>
      <c r="J1908" s="13">
        <f t="shared" si="68"/>
        <v>236782.19999999998</v>
      </c>
    </row>
    <row r="1909" spans="1:10" x14ac:dyDescent="0.25">
      <c r="A1909" s="10">
        <v>41922</v>
      </c>
      <c r="B1909" s="11" t="s">
        <v>8</v>
      </c>
      <c r="C1909" s="11" t="s">
        <v>5</v>
      </c>
      <c r="D1909" s="16" t="str">
        <f>HYPERLINK("https://freddywills.com/pick/903/wash-st-17.html", "Wash St +17")</f>
        <v>Wash St +17</v>
      </c>
      <c r="E1909" s="11">
        <v>4.4000000000000004</v>
      </c>
      <c r="F1909" s="11">
        <v>-1.1000000000000001</v>
      </c>
      <c r="G1909" s="11" t="s">
        <v>9</v>
      </c>
      <c r="H1909" s="13">
        <v>0</v>
      </c>
      <c r="I1909" s="14">
        <f t="shared" si="67"/>
        <v>0.40969800000000017</v>
      </c>
      <c r="J1909" s="13">
        <f t="shared" si="68"/>
        <v>240082.19999999998</v>
      </c>
    </row>
    <row r="1910" spans="1:10" x14ac:dyDescent="0.25">
      <c r="A1910" s="10">
        <v>41921</v>
      </c>
      <c r="B1910" s="11" t="s">
        <v>8</v>
      </c>
      <c r="C1910" s="11" t="s">
        <v>7</v>
      </c>
      <c r="D1910" s="16" t="str">
        <f>HYPERLINK("https://freddywills.com/pick/904/byu-ucf-u45.html", "BYU /UCF U45")</f>
        <v>BYU /UCF U45</v>
      </c>
      <c r="E1910" s="11">
        <v>4.4000000000000004</v>
      </c>
      <c r="F1910" s="11">
        <v>-1.1000000000000001</v>
      </c>
      <c r="G1910" s="11" t="s">
        <v>6</v>
      </c>
      <c r="H1910" s="13">
        <v>-4400</v>
      </c>
      <c r="I1910" s="14">
        <f t="shared" si="67"/>
        <v>0.40969800000000017</v>
      </c>
      <c r="J1910" s="13">
        <f t="shared" si="68"/>
        <v>240082.19999999998</v>
      </c>
    </row>
    <row r="1911" spans="1:10" x14ac:dyDescent="0.25">
      <c r="A1911" s="10">
        <v>41921</v>
      </c>
      <c r="B1911" s="11" t="s">
        <v>2</v>
      </c>
      <c r="C1911" s="11" t="s">
        <v>5</v>
      </c>
      <c r="D1911" s="16" t="str">
        <f>HYPERLINK("https://freddywills.com/pick/905/texans-3-5.html", "Texans +3.5")</f>
        <v>Texans +3.5</v>
      </c>
      <c r="E1911" s="11">
        <v>3.3</v>
      </c>
      <c r="F1911" s="11">
        <v>-1.1000000000000001</v>
      </c>
      <c r="G1911" s="11" t="s">
        <v>6</v>
      </c>
      <c r="H1911" s="13">
        <v>-3300</v>
      </c>
      <c r="I1911" s="14">
        <f t="shared" si="67"/>
        <v>0.45369800000000016</v>
      </c>
      <c r="J1911" s="13">
        <f t="shared" si="68"/>
        <v>244482.19999999998</v>
      </c>
    </row>
    <row r="1912" spans="1:10" x14ac:dyDescent="0.25">
      <c r="A1912" s="10">
        <v>41917</v>
      </c>
      <c r="B1912" s="11" t="s">
        <v>2</v>
      </c>
      <c r="C1912" s="11" t="s">
        <v>5</v>
      </c>
      <c r="D1912" s="16" t="str">
        <f>HYPERLINK("https://freddywills.com/pick/907/titans-1.html", "Titans -1")</f>
        <v>Titans -1</v>
      </c>
      <c r="E1912" s="11">
        <v>5.5</v>
      </c>
      <c r="F1912" s="11">
        <v>-1.1000000000000001</v>
      </c>
      <c r="G1912" s="11" t="s">
        <v>6</v>
      </c>
      <c r="H1912" s="13">
        <v>-5500</v>
      </c>
      <c r="I1912" s="14">
        <f t="shared" si="67"/>
        <v>0.48669800000000013</v>
      </c>
      <c r="J1912" s="13">
        <f t="shared" si="68"/>
        <v>247782.19999999998</v>
      </c>
    </row>
    <row r="1913" spans="1:10" x14ac:dyDescent="0.25">
      <c r="A1913" s="10">
        <v>41917</v>
      </c>
      <c r="B1913" s="11" t="s">
        <v>2</v>
      </c>
      <c r="C1913" s="11" t="s">
        <v>18</v>
      </c>
      <c r="D1913" s="16" t="str">
        <f>HYPERLINK("https://freddywills.com/pick/908/patriots-110.html", "Patriots +110")</f>
        <v>Patriots +110</v>
      </c>
      <c r="E1913" s="11">
        <v>3</v>
      </c>
      <c r="F1913" s="11">
        <v>1.1000000000000001</v>
      </c>
      <c r="G1913" s="11" t="s">
        <v>4</v>
      </c>
      <c r="H1913" s="13">
        <v>3300</v>
      </c>
      <c r="I1913" s="14">
        <f t="shared" si="67"/>
        <v>0.54169800000000012</v>
      </c>
      <c r="J1913" s="13">
        <f t="shared" si="68"/>
        <v>253282.19999999998</v>
      </c>
    </row>
    <row r="1914" spans="1:10" x14ac:dyDescent="0.25">
      <c r="A1914" s="10">
        <v>41917</v>
      </c>
      <c r="B1914" s="11" t="s">
        <v>2</v>
      </c>
      <c r="C1914" s="11" t="s">
        <v>5</v>
      </c>
      <c r="D1914" s="16" t="str">
        <f>HYPERLINK("https://freddywills.com/pick/909/rams-4-5.html", "Rams +4.5")</f>
        <v>Rams +4.5</v>
      </c>
      <c r="E1914" s="11">
        <v>3.3</v>
      </c>
      <c r="F1914" s="11">
        <v>-1.1000000000000001</v>
      </c>
      <c r="G1914" s="11" t="s">
        <v>6</v>
      </c>
      <c r="H1914" s="13">
        <v>-3300</v>
      </c>
      <c r="I1914" s="14">
        <f t="shared" si="67"/>
        <v>0.50869800000000009</v>
      </c>
      <c r="J1914" s="13">
        <f t="shared" si="68"/>
        <v>249982.19999999998</v>
      </c>
    </row>
    <row r="1915" spans="1:10" x14ac:dyDescent="0.25">
      <c r="A1915" s="10">
        <v>41917</v>
      </c>
      <c r="B1915" s="11" t="s">
        <v>2</v>
      </c>
      <c r="C1915" s="11" t="s">
        <v>10</v>
      </c>
      <c r="D1915" s="16" t="str">
        <f>HYPERLINK("https://freddywills.com/pick/910/texans-11-5-broncos-1-5.html", "Texans +11.5/Broncos -1.5")</f>
        <v>Texans +11.5/Broncos -1.5</v>
      </c>
      <c r="E1915" s="11">
        <v>4.4000000000000004</v>
      </c>
      <c r="F1915" s="11">
        <v>-1.1000000000000001</v>
      </c>
      <c r="G1915" s="11" t="s">
        <v>4</v>
      </c>
      <c r="H1915" s="13">
        <v>4000</v>
      </c>
      <c r="I1915" s="14">
        <f t="shared" si="67"/>
        <v>0.54169800000000012</v>
      </c>
      <c r="J1915" s="13">
        <f t="shared" si="68"/>
        <v>253282.19999999998</v>
      </c>
    </row>
    <row r="1916" spans="1:10" x14ac:dyDescent="0.25">
      <c r="A1916" s="10">
        <v>41916</v>
      </c>
      <c r="B1916" s="11" t="s">
        <v>8</v>
      </c>
      <c r="C1916" s="11" t="s">
        <v>5</v>
      </c>
      <c r="D1916" s="16" t="str">
        <f>HYPERLINK("https://freddywills.com/pick/911/texas-am-3.html", "Texas AM +3")</f>
        <v>Texas AM +3</v>
      </c>
      <c r="E1916" s="11">
        <v>4.5</v>
      </c>
      <c r="F1916" s="11">
        <v>-1.1000000000000001</v>
      </c>
      <c r="G1916" s="11" t="s">
        <v>6</v>
      </c>
      <c r="H1916" s="13">
        <v>-4500</v>
      </c>
      <c r="I1916" s="14">
        <f t="shared" ref="I1916:I1979" si="69">(H1916/100000)+I1917</f>
        <v>0.50169800000000009</v>
      </c>
      <c r="J1916" s="13">
        <f t="shared" ref="J1916:J1979" si="70">H1916+J1917</f>
        <v>249282.19999999998</v>
      </c>
    </row>
    <row r="1917" spans="1:10" x14ac:dyDescent="0.25">
      <c r="A1917" s="10">
        <v>41916</v>
      </c>
      <c r="B1917" s="11" t="s">
        <v>8</v>
      </c>
      <c r="C1917" s="11" t="s">
        <v>5</v>
      </c>
      <c r="D1917" s="16" t="str">
        <f>HYPERLINK("https://freddywills.com/pick/912/stanford-2-5.html", "STanford -2.5")</f>
        <v>STanford -2.5</v>
      </c>
      <c r="E1917" s="11">
        <v>1.1000000000000001</v>
      </c>
      <c r="F1917" s="11">
        <v>-1.1000000000000001</v>
      </c>
      <c r="G1917" s="11" t="s">
        <v>6</v>
      </c>
      <c r="H1917" s="13">
        <v>-1100</v>
      </c>
      <c r="I1917" s="14">
        <f t="shared" si="69"/>
        <v>0.54669800000000013</v>
      </c>
      <c r="J1917" s="13">
        <f t="shared" si="70"/>
        <v>253782.19999999998</v>
      </c>
    </row>
    <row r="1918" spans="1:10" x14ac:dyDescent="0.25">
      <c r="A1918" s="10">
        <v>41916</v>
      </c>
      <c r="B1918" s="11" t="s">
        <v>8</v>
      </c>
      <c r="C1918" s="11" t="s">
        <v>10</v>
      </c>
      <c r="D1918" s="16" t="str">
        <f>HYPERLINK("https://freddywills.com/pick/913/florida-8-5-ohio-st-2.html", "Florida +8.5/Ohio St -2")</f>
        <v>Florida +8.5/Ohio St -2</v>
      </c>
      <c r="E1918" s="11">
        <v>4.4000000000000004</v>
      </c>
      <c r="F1918" s="11">
        <v>-1.1000000000000001</v>
      </c>
      <c r="G1918" s="11" t="s">
        <v>4</v>
      </c>
      <c r="H1918" s="13">
        <v>4000</v>
      </c>
      <c r="I1918" s="14">
        <f t="shared" si="69"/>
        <v>0.55769800000000014</v>
      </c>
      <c r="J1918" s="13">
        <f t="shared" si="70"/>
        <v>254882.19999999998</v>
      </c>
    </row>
    <row r="1919" spans="1:10" x14ac:dyDescent="0.25">
      <c r="A1919" s="10">
        <v>41916</v>
      </c>
      <c r="B1919" s="11" t="s">
        <v>8</v>
      </c>
      <c r="C1919" s="11" t="s">
        <v>10</v>
      </c>
      <c r="D1919" s="16" t="str">
        <f>HYPERLINK("https://freddywills.com/pick/914/auburn-1-5-mich-st-1.html", "Auburn -1.5/Mich St-1")</f>
        <v>Auburn -1.5/Mich St-1</v>
      </c>
      <c r="E1919" s="11">
        <v>3.3</v>
      </c>
      <c r="F1919" s="11">
        <v>-1.1000000000000001</v>
      </c>
      <c r="G1919" s="11" t="s">
        <v>4</v>
      </c>
      <c r="H1919" s="13">
        <v>3000</v>
      </c>
      <c r="I1919" s="14">
        <f t="shared" si="69"/>
        <v>0.5176980000000001</v>
      </c>
      <c r="J1919" s="13">
        <f t="shared" si="70"/>
        <v>250882.19999999998</v>
      </c>
    </row>
    <row r="1920" spans="1:10" x14ac:dyDescent="0.25">
      <c r="A1920" s="10">
        <v>41916</v>
      </c>
      <c r="B1920" s="11" t="s">
        <v>8</v>
      </c>
      <c r="C1920" s="11" t="s">
        <v>5</v>
      </c>
      <c r="D1920" s="16" t="str">
        <f>HYPERLINK("https://freddywills.com/pick/915/utah-13-5.html", "Utah +13.5")</f>
        <v>Utah +13.5</v>
      </c>
      <c r="E1920" s="11">
        <v>5.5</v>
      </c>
      <c r="F1920" s="11">
        <v>-1.1000000000000001</v>
      </c>
      <c r="G1920" s="11" t="s">
        <v>4</v>
      </c>
      <c r="H1920" s="13">
        <v>5000</v>
      </c>
      <c r="I1920" s="14">
        <f t="shared" si="69"/>
        <v>0.48769800000000008</v>
      </c>
      <c r="J1920" s="13">
        <f t="shared" si="70"/>
        <v>247882.19999999998</v>
      </c>
    </row>
    <row r="1921" spans="1:10" x14ac:dyDescent="0.25">
      <c r="A1921" s="10">
        <v>41916</v>
      </c>
      <c r="B1921" s="11" t="s">
        <v>8</v>
      </c>
      <c r="C1921" s="11" t="s">
        <v>18</v>
      </c>
      <c r="D1921" s="16" t="str">
        <f>HYPERLINK("https://freddywills.com/pick/916/utah-405.html", "Utah +405")</f>
        <v>Utah +405</v>
      </c>
      <c r="E1921" s="11">
        <v>1</v>
      </c>
      <c r="F1921" s="11">
        <v>4.05</v>
      </c>
      <c r="G1921" s="11" t="s">
        <v>4</v>
      </c>
      <c r="H1921" s="13">
        <v>4050</v>
      </c>
      <c r="I1921" s="14">
        <f t="shared" si="69"/>
        <v>0.43769800000000009</v>
      </c>
      <c r="J1921" s="13">
        <f t="shared" si="70"/>
        <v>242882.19999999998</v>
      </c>
    </row>
    <row r="1922" spans="1:10" x14ac:dyDescent="0.25">
      <c r="A1922" s="10">
        <v>41915</v>
      </c>
      <c r="B1922" s="11" t="s">
        <v>8</v>
      </c>
      <c r="C1922" s="11" t="s">
        <v>5</v>
      </c>
      <c r="D1922" s="16" t="str">
        <f>HYPERLINK("https://freddywills.com/pick/918/syracuse-3.html", "Syracuse +3")</f>
        <v>Syracuse +3</v>
      </c>
      <c r="E1922" s="11">
        <v>4.4000000000000004</v>
      </c>
      <c r="F1922" s="11">
        <v>-1.1000000000000001</v>
      </c>
      <c r="G1922" s="11" t="s">
        <v>6</v>
      </c>
      <c r="H1922" s="13">
        <v>-4400</v>
      </c>
      <c r="I1922" s="14">
        <f t="shared" si="69"/>
        <v>0.39719800000000011</v>
      </c>
      <c r="J1922" s="13">
        <f t="shared" si="70"/>
        <v>238832.19999999998</v>
      </c>
    </row>
    <row r="1923" spans="1:10" x14ac:dyDescent="0.25">
      <c r="A1923" s="10">
        <v>41915</v>
      </c>
      <c r="B1923" s="11" t="s">
        <v>8</v>
      </c>
      <c r="C1923" s="11" t="s">
        <v>5</v>
      </c>
      <c r="D1923" s="16" t="str">
        <f>HYPERLINK("https://freddywills.com/pick/919/fresno-st-3.html", "Fresno St -3")</f>
        <v>Fresno St -3</v>
      </c>
      <c r="E1923" s="11">
        <v>3.3</v>
      </c>
      <c r="F1923" s="11">
        <v>-1.1000000000000001</v>
      </c>
      <c r="G1923" s="11" t="s">
        <v>4</v>
      </c>
      <c r="H1923" s="13">
        <v>3000</v>
      </c>
      <c r="I1923" s="14">
        <f t="shared" si="69"/>
        <v>0.44119800000000009</v>
      </c>
      <c r="J1923" s="13">
        <f t="shared" si="70"/>
        <v>243232.19999999998</v>
      </c>
    </row>
    <row r="1924" spans="1:10" x14ac:dyDescent="0.25">
      <c r="A1924" s="10">
        <v>41914</v>
      </c>
      <c r="B1924" s="11" t="s">
        <v>8</v>
      </c>
      <c r="C1924" s="11" t="s">
        <v>5</v>
      </c>
      <c r="D1924" s="16" t="str">
        <f>HYPERLINK("https://freddywills.com/pick/920/ucf-3-5.html", "UCF +3.5")</f>
        <v>UCF +3.5</v>
      </c>
      <c r="E1924" s="11">
        <v>4.4000000000000004</v>
      </c>
      <c r="F1924" s="11">
        <v>-1.1000000000000001</v>
      </c>
      <c r="G1924" s="11" t="s">
        <v>4</v>
      </c>
      <c r="H1924" s="13">
        <v>4000</v>
      </c>
      <c r="I1924" s="14">
        <f t="shared" si="69"/>
        <v>0.41119800000000006</v>
      </c>
      <c r="J1924" s="13">
        <f t="shared" si="70"/>
        <v>240232.19999999998</v>
      </c>
    </row>
    <row r="1925" spans="1:10" x14ac:dyDescent="0.25">
      <c r="A1925" s="10">
        <v>41911</v>
      </c>
      <c r="B1925" s="11" t="s">
        <v>2</v>
      </c>
      <c r="C1925" s="11" t="s">
        <v>5</v>
      </c>
      <c r="D1925" s="16" t="str">
        <f>HYPERLINK("https://freddywills.com/pick/922/patriots-3-115.html", "Patriots -3 +115")</f>
        <v>Patriots -3 +115</v>
      </c>
      <c r="E1925" s="11">
        <v>4</v>
      </c>
      <c r="F1925" s="11">
        <v>1.1499999999999999</v>
      </c>
      <c r="G1925" s="11" t="s">
        <v>6</v>
      </c>
      <c r="H1925" s="13">
        <v>-4000</v>
      </c>
      <c r="I1925" s="14">
        <f t="shared" si="69"/>
        <v>0.37119800000000008</v>
      </c>
      <c r="J1925" s="13">
        <f t="shared" si="70"/>
        <v>236232.19999999998</v>
      </c>
    </row>
    <row r="1926" spans="1:10" x14ac:dyDescent="0.25">
      <c r="A1926" s="10">
        <v>41910</v>
      </c>
      <c r="B1926" s="11" t="s">
        <v>2</v>
      </c>
      <c r="C1926" s="11" t="s">
        <v>18</v>
      </c>
      <c r="D1926" s="16" t="str">
        <f>HYPERLINK("https://freddywills.com/pick/923/panthers-135.html", "Panthers +135")</f>
        <v>Panthers +135</v>
      </c>
      <c r="E1926" s="11">
        <v>3</v>
      </c>
      <c r="F1926" s="11">
        <v>1.35</v>
      </c>
      <c r="G1926" s="11" t="s">
        <v>6</v>
      </c>
      <c r="H1926" s="13">
        <v>-3000</v>
      </c>
      <c r="I1926" s="14">
        <f t="shared" si="69"/>
        <v>0.41119800000000006</v>
      </c>
      <c r="J1926" s="13">
        <f t="shared" si="70"/>
        <v>240232.19999999998</v>
      </c>
    </row>
    <row r="1927" spans="1:10" x14ac:dyDescent="0.25">
      <c r="A1927" s="10">
        <v>41910</v>
      </c>
      <c r="B1927" s="11" t="s">
        <v>2</v>
      </c>
      <c r="C1927" s="11" t="s">
        <v>5</v>
      </c>
      <c r="D1927" s="16" t="str">
        <f>HYPERLINK("https://freddywills.com/pick/924/49ers-3-5.html", "49ers -3.5")</f>
        <v>49ers -3.5</v>
      </c>
      <c r="E1927" s="11">
        <v>3.3</v>
      </c>
      <c r="F1927" s="11">
        <v>-1.1000000000000001</v>
      </c>
      <c r="G1927" s="11" t="s">
        <v>4</v>
      </c>
      <c r="H1927" s="13">
        <v>3000</v>
      </c>
      <c r="I1927" s="14">
        <f t="shared" si="69"/>
        <v>0.44119800000000009</v>
      </c>
      <c r="J1927" s="13">
        <f t="shared" si="70"/>
        <v>243232.19999999998</v>
      </c>
    </row>
    <row r="1928" spans="1:10" x14ac:dyDescent="0.25">
      <c r="A1928" s="10">
        <v>41910</v>
      </c>
      <c r="B1928" s="11" t="s">
        <v>2</v>
      </c>
      <c r="C1928" s="11" t="s">
        <v>5</v>
      </c>
      <c r="D1928" s="16" t="str">
        <f>HYPERLINK("https://freddywills.com/pick/925/tb-bucs-9.html", "Tb Bucs +9")</f>
        <v>Tb Bucs +9</v>
      </c>
      <c r="E1928" s="11">
        <v>5.5</v>
      </c>
      <c r="F1928" s="11">
        <v>-1.1000000000000001</v>
      </c>
      <c r="G1928" s="11" t="s">
        <v>4</v>
      </c>
      <c r="H1928" s="13">
        <v>5000</v>
      </c>
      <c r="I1928" s="14">
        <f t="shared" si="69"/>
        <v>0.41119800000000012</v>
      </c>
      <c r="J1928" s="13">
        <f t="shared" si="70"/>
        <v>240232.19999999998</v>
      </c>
    </row>
    <row r="1929" spans="1:10" x14ac:dyDescent="0.25">
      <c r="A1929" s="10">
        <v>41910</v>
      </c>
      <c r="B1929" s="11" t="s">
        <v>2</v>
      </c>
      <c r="C1929" s="11" t="s">
        <v>5</v>
      </c>
      <c r="D1929" s="16" t="str">
        <f>HYPERLINK("https://freddywills.com/pick/926/packers-1-5.html", "Packers -1.5")</f>
        <v>Packers -1.5</v>
      </c>
      <c r="E1929" s="11">
        <v>4.4000000000000004</v>
      </c>
      <c r="F1929" s="11">
        <v>-1.1000000000000001</v>
      </c>
      <c r="G1929" s="11" t="s">
        <v>4</v>
      </c>
      <c r="H1929" s="13">
        <v>4000</v>
      </c>
      <c r="I1929" s="14">
        <f t="shared" si="69"/>
        <v>0.36119800000000013</v>
      </c>
      <c r="J1929" s="13">
        <f t="shared" si="70"/>
        <v>235232.19999999998</v>
      </c>
    </row>
    <row r="1930" spans="1:10" x14ac:dyDescent="0.25">
      <c r="A1930" s="10">
        <v>41909</v>
      </c>
      <c r="B1930" s="11" t="s">
        <v>8</v>
      </c>
      <c r="C1930" s="11" t="s">
        <v>10</v>
      </c>
      <c r="D1930" s="16" t="str">
        <f>HYPERLINK("https://freddywills.com/pick/927/col-st-14-5-unc-21-5.html", "Col St +14.5 / UNC +21.5")</f>
        <v>Col St +14.5 / UNC +21.5</v>
      </c>
      <c r="E1930" s="11">
        <v>4.4000000000000004</v>
      </c>
      <c r="F1930" s="11">
        <v>-1.1000000000000001</v>
      </c>
      <c r="G1930" s="11" t="s">
        <v>4</v>
      </c>
      <c r="H1930" s="13">
        <v>4000</v>
      </c>
      <c r="I1930" s="14">
        <f t="shared" si="69"/>
        <v>0.32119800000000015</v>
      </c>
      <c r="J1930" s="13">
        <f t="shared" si="70"/>
        <v>231232.19999999998</v>
      </c>
    </row>
    <row r="1931" spans="1:10" x14ac:dyDescent="0.25">
      <c r="A1931" s="10">
        <v>41909</v>
      </c>
      <c r="B1931" s="11" t="s">
        <v>8</v>
      </c>
      <c r="C1931" s="11" t="s">
        <v>5</v>
      </c>
      <c r="D1931" s="16" t="str">
        <f>HYPERLINK("https://freddywills.com/pick/928/arkansas-9-5.html", "Arkansas +9.5")</f>
        <v>Arkansas +9.5</v>
      </c>
      <c r="E1931" s="11">
        <v>1.1000000000000001</v>
      </c>
      <c r="F1931" s="11">
        <v>-1.1000000000000001</v>
      </c>
      <c r="G1931" s="11" t="s">
        <v>4</v>
      </c>
      <c r="H1931" s="13">
        <v>1000</v>
      </c>
      <c r="I1931" s="14">
        <f t="shared" si="69"/>
        <v>0.28119800000000017</v>
      </c>
      <c r="J1931" s="13">
        <f t="shared" si="70"/>
        <v>227232.19999999998</v>
      </c>
    </row>
    <row r="1932" spans="1:10" x14ac:dyDescent="0.25">
      <c r="A1932" s="10">
        <v>41909</v>
      </c>
      <c r="B1932" s="11" t="s">
        <v>8</v>
      </c>
      <c r="C1932" s="11" t="s">
        <v>5</v>
      </c>
      <c r="D1932" s="16" t="str">
        <f>HYPERLINK("https://freddywills.com/pick/929/missouri-5.html", "Missouri +5")</f>
        <v>Missouri +5</v>
      </c>
      <c r="E1932" s="11">
        <v>3.3</v>
      </c>
      <c r="F1932" s="11">
        <v>-1.1000000000000001</v>
      </c>
      <c r="G1932" s="11" t="s">
        <v>4</v>
      </c>
      <c r="H1932" s="13">
        <v>3000</v>
      </c>
      <c r="I1932" s="14">
        <f t="shared" si="69"/>
        <v>0.27119800000000016</v>
      </c>
      <c r="J1932" s="13">
        <f t="shared" si="70"/>
        <v>226232.19999999998</v>
      </c>
    </row>
    <row r="1933" spans="1:10" x14ac:dyDescent="0.25">
      <c r="A1933" s="10">
        <v>41909</v>
      </c>
      <c r="B1933" s="11" t="s">
        <v>8</v>
      </c>
      <c r="C1933" s="11" t="s">
        <v>5</v>
      </c>
      <c r="D1933" s="16" t="str">
        <f>HYPERLINK("https://freddywills.com/pick/930/washington-st-14.html", "Washington St +14")</f>
        <v>Washington St +14</v>
      </c>
      <c r="E1933" s="11">
        <v>3.3</v>
      </c>
      <c r="F1933" s="11">
        <v>-1.1000000000000001</v>
      </c>
      <c r="G1933" s="11" t="s">
        <v>4</v>
      </c>
      <c r="H1933" s="13">
        <v>3000</v>
      </c>
      <c r="I1933" s="14">
        <f t="shared" si="69"/>
        <v>0.24119800000000016</v>
      </c>
      <c r="J1933" s="13">
        <f t="shared" si="70"/>
        <v>223232.19999999998</v>
      </c>
    </row>
    <row r="1934" spans="1:10" x14ac:dyDescent="0.25">
      <c r="A1934" s="10">
        <v>41909</v>
      </c>
      <c r="B1934" s="11" t="s">
        <v>8</v>
      </c>
      <c r="C1934" s="11" t="s">
        <v>5</v>
      </c>
      <c r="D1934" s="16" t="str">
        <f>HYPERLINK("https://freddywills.com/pick/931/nc-state-18-5.html", "NC State +18.5")</f>
        <v>NC State +18.5</v>
      </c>
      <c r="E1934" s="11">
        <v>3.3</v>
      </c>
      <c r="F1934" s="11">
        <v>-1.1000000000000001</v>
      </c>
      <c r="G1934" s="11" t="s">
        <v>4</v>
      </c>
      <c r="H1934" s="13">
        <v>3000</v>
      </c>
      <c r="I1934" s="14">
        <f t="shared" si="69"/>
        <v>0.21119800000000016</v>
      </c>
      <c r="J1934" s="13">
        <f t="shared" si="70"/>
        <v>220232.19999999998</v>
      </c>
    </row>
    <row r="1935" spans="1:10" x14ac:dyDescent="0.25">
      <c r="A1935" s="10">
        <v>41909</v>
      </c>
      <c r="B1935" s="11" t="s">
        <v>8</v>
      </c>
      <c r="C1935" s="11" t="s">
        <v>18</v>
      </c>
      <c r="D1935" s="16" t="str">
        <f>HYPERLINK("https://freddywills.com/pick/932/wash-st-425.html", "Wash St +425")</f>
        <v>Wash St +425</v>
      </c>
      <c r="E1935" s="11">
        <v>0.5</v>
      </c>
      <c r="F1935" s="11">
        <v>4.25</v>
      </c>
      <c r="G1935" s="11" t="s">
        <v>4</v>
      </c>
      <c r="H1935" s="13">
        <v>2125</v>
      </c>
      <c r="I1935" s="14">
        <f t="shared" si="69"/>
        <v>0.18119800000000016</v>
      </c>
      <c r="J1935" s="13">
        <f t="shared" si="70"/>
        <v>217232.19999999998</v>
      </c>
    </row>
    <row r="1936" spans="1:10" x14ac:dyDescent="0.25">
      <c r="A1936" s="10">
        <v>41909</v>
      </c>
      <c r="B1936" s="11" t="s">
        <v>8</v>
      </c>
      <c r="C1936" s="11" t="s">
        <v>5</v>
      </c>
      <c r="D1936" s="16" t="str">
        <f>HYPERLINK("https://freddywills.com/pick/933/duke-7.html", "Duke +7")</f>
        <v>Duke +7</v>
      </c>
      <c r="E1936" s="11">
        <v>3.3</v>
      </c>
      <c r="F1936" s="11">
        <v>-1.1000000000000001</v>
      </c>
      <c r="G1936" s="11" t="s">
        <v>6</v>
      </c>
      <c r="H1936" s="13">
        <v>-3300</v>
      </c>
      <c r="I1936" s="14">
        <f t="shared" si="69"/>
        <v>0.15994800000000017</v>
      </c>
      <c r="J1936" s="13">
        <f t="shared" si="70"/>
        <v>215107.19999999998</v>
      </c>
    </row>
    <row r="1937" spans="1:10" x14ac:dyDescent="0.25">
      <c r="A1937" s="10">
        <v>41909</v>
      </c>
      <c r="B1937" s="11" t="s">
        <v>8</v>
      </c>
      <c r="C1937" s="11" t="s">
        <v>5</v>
      </c>
      <c r="D1937" s="16" t="str">
        <f>HYPERLINK("https://freddywills.com/pick/934/syracuse-9-5.html", "Syracuse +9.5")</f>
        <v>Syracuse +9.5</v>
      </c>
      <c r="E1937" s="11">
        <v>5.5</v>
      </c>
      <c r="F1937" s="11">
        <v>-1.1000000000000001</v>
      </c>
      <c r="G1937" s="11" t="s">
        <v>6</v>
      </c>
      <c r="H1937" s="13">
        <v>-5500</v>
      </c>
      <c r="I1937" s="14">
        <f t="shared" si="69"/>
        <v>0.19294800000000017</v>
      </c>
      <c r="J1937" s="13">
        <f t="shared" si="70"/>
        <v>218407.19999999998</v>
      </c>
    </row>
    <row r="1938" spans="1:10" x14ac:dyDescent="0.25">
      <c r="A1938" s="10">
        <v>41908</v>
      </c>
      <c r="B1938" s="11" t="s">
        <v>8</v>
      </c>
      <c r="C1938" s="11" t="s">
        <v>18</v>
      </c>
      <c r="D1938" s="16" t="str">
        <f>HYPERLINK("https://freddywills.com/pick/935/mtsu-130.html", "MTSU +130")</f>
        <v>MTSU +130</v>
      </c>
      <c r="E1938" s="11">
        <v>4</v>
      </c>
      <c r="F1938" s="11">
        <v>1.3</v>
      </c>
      <c r="G1938" s="11" t="s">
        <v>4</v>
      </c>
      <c r="H1938" s="13">
        <v>5200</v>
      </c>
      <c r="I1938" s="14">
        <f t="shared" si="69"/>
        <v>0.24794800000000017</v>
      </c>
      <c r="J1938" s="13">
        <f t="shared" si="70"/>
        <v>223907.19999999998</v>
      </c>
    </row>
    <row r="1939" spans="1:10" x14ac:dyDescent="0.25">
      <c r="A1939" s="10">
        <v>41907</v>
      </c>
      <c r="B1939" s="11" t="s">
        <v>8</v>
      </c>
      <c r="C1939" s="11" t="s">
        <v>5</v>
      </c>
      <c r="D1939" s="16" t="str">
        <f>HYPERLINK("https://freddywills.com/pick/938/arizona-st-4-5.html", "Arizona St +4.5")</f>
        <v>Arizona St +4.5</v>
      </c>
      <c r="E1939" s="11">
        <v>4.4000000000000004</v>
      </c>
      <c r="F1939" s="11">
        <v>-1.1000000000000001</v>
      </c>
      <c r="G1939" s="11" t="s">
        <v>6</v>
      </c>
      <c r="H1939" s="13">
        <v>-4400</v>
      </c>
      <c r="I1939" s="14">
        <f t="shared" si="69"/>
        <v>0.19594800000000018</v>
      </c>
      <c r="J1939" s="13">
        <f t="shared" si="70"/>
        <v>218707.19999999998</v>
      </c>
    </row>
    <row r="1940" spans="1:10" x14ac:dyDescent="0.25">
      <c r="A1940" s="10">
        <v>41907</v>
      </c>
      <c r="B1940" s="11" t="s">
        <v>2</v>
      </c>
      <c r="C1940" s="11" t="s">
        <v>5</v>
      </c>
      <c r="D1940" s="16" t="str">
        <f>HYPERLINK("https://freddywills.com/pick/939/redskins-3.html", "Redskins -3")</f>
        <v>Redskins -3</v>
      </c>
      <c r="E1940" s="11">
        <v>5.5</v>
      </c>
      <c r="F1940" s="11">
        <v>-1.1000000000000001</v>
      </c>
      <c r="G1940" s="11" t="s">
        <v>6</v>
      </c>
      <c r="H1940" s="13">
        <v>-5500</v>
      </c>
      <c r="I1940" s="14">
        <f t="shared" si="69"/>
        <v>0.23994800000000016</v>
      </c>
      <c r="J1940" s="13">
        <f t="shared" si="70"/>
        <v>223107.19999999998</v>
      </c>
    </row>
    <row r="1941" spans="1:10" x14ac:dyDescent="0.25">
      <c r="A1941" s="10">
        <v>41903</v>
      </c>
      <c r="B1941" s="11" t="s">
        <v>2</v>
      </c>
      <c r="C1941" s="11" t="s">
        <v>5</v>
      </c>
      <c r="D1941" s="16" t="str">
        <f>HYPERLINK("https://freddywills.com/pick/943/giants-1.html", "Giants -1")</f>
        <v>Giants -1</v>
      </c>
      <c r="E1941" s="11">
        <v>5.5</v>
      </c>
      <c r="F1941" s="11">
        <v>-1.1000000000000001</v>
      </c>
      <c r="G1941" s="11" t="s">
        <v>4</v>
      </c>
      <c r="H1941" s="13">
        <v>5000</v>
      </c>
      <c r="I1941" s="14">
        <f t="shared" si="69"/>
        <v>0.29494800000000015</v>
      </c>
      <c r="J1941" s="13">
        <f t="shared" si="70"/>
        <v>228607.19999999998</v>
      </c>
    </row>
    <row r="1942" spans="1:10" x14ac:dyDescent="0.25">
      <c r="A1942" s="10">
        <v>41903</v>
      </c>
      <c r="B1942" s="11" t="s">
        <v>2</v>
      </c>
      <c r="C1942" s="11" t="s">
        <v>5</v>
      </c>
      <c r="D1942" s="16" t="str">
        <f>HYPERLINK("https://freddywills.com/pick/944/seahawks-4.html", "Seahawks -4")</f>
        <v>Seahawks -4</v>
      </c>
      <c r="E1942" s="11">
        <v>3.3</v>
      </c>
      <c r="F1942" s="11">
        <v>-1.1000000000000001</v>
      </c>
      <c r="G1942" s="11" t="s">
        <v>4</v>
      </c>
      <c r="H1942" s="13">
        <v>3000</v>
      </c>
      <c r="I1942" s="14">
        <f t="shared" si="69"/>
        <v>0.24494800000000014</v>
      </c>
      <c r="J1942" s="13">
        <f t="shared" si="70"/>
        <v>223607.19999999998</v>
      </c>
    </row>
    <row r="1943" spans="1:10" x14ac:dyDescent="0.25">
      <c r="A1943" s="10">
        <v>41903</v>
      </c>
      <c r="B1943" s="11" t="s">
        <v>2</v>
      </c>
      <c r="C1943" s="11" t="s">
        <v>5</v>
      </c>
      <c r="D1943" s="16" t="str">
        <f>HYPERLINK("https://freddywills.com/pick/945/bills-2.html", "Bills -2")</f>
        <v>Bills -2</v>
      </c>
      <c r="E1943" s="11">
        <v>3.3</v>
      </c>
      <c r="F1943" s="11">
        <v>-1.1000000000000001</v>
      </c>
      <c r="G1943" s="11" t="s">
        <v>6</v>
      </c>
      <c r="H1943" s="13">
        <v>-3300</v>
      </c>
      <c r="I1943" s="14">
        <f t="shared" si="69"/>
        <v>0.21494800000000014</v>
      </c>
      <c r="J1943" s="13">
        <f t="shared" si="70"/>
        <v>220607.19999999998</v>
      </c>
    </row>
    <row r="1944" spans="1:10" x14ac:dyDescent="0.25">
      <c r="A1944" s="10">
        <v>41903</v>
      </c>
      <c r="B1944" s="11" t="s">
        <v>2</v>
      </c>
      <c r="C1944" s="11" t="s">
        <v>5</v>
      </c>
      <c r="D1944" s="16" t="str">
        <f>HYPERLINK("https://freddywills.com/pick/946/titans-7.html", "Titans +7")</f>
        <v>Titans +7</v>
      </c>
      <c r="E1944" s="11">
        <v>3.3</v>
      </c>
      <c r="F1944" s="11">
        <v>-1.1000000000000001</v>
      </c>
      <c r="G1944" s="11" t="s">
        <v>6</v>
      </c>
      <c r="H1944" s="13">
        <v>-3300</v>
      </c>
      <c r="I1944" s="14">
        <f t="shared" si="69"/>
        <v>0.24794800000000014</v>
      </c>
      <c r="J1944" s="13">
        <f t="shared" si="70"/>
        <v>223907.19999999998</v>
      </c>
    </row>
    <row r="1945" spans="1:10" x14ac:dyDescent="0.25">
      <c r="A1945" s="10">
        <v>41902</v>
      </c>
      <c r="B1945" s="11" t="s">
        <v>8</v>
      </c>
      <c r="C1945" s="11" t="s">
        <v>5</v>
      </c>
      <c r="D1945" s="16" t="str">
        <f>HYPERLINK("https://freddywills.com/pick/947/iowa-7.html", "Iowa +7")</f>
        <v>Iowa +7</v>
      </c>
      <c r="E1945" s="11">
        <v>5.5</v>
      </c>
      <c r="F1945" s="11">
        <v>-1.1000000000000001</v>
      </c>
      <c r="G1945" s="11" t="s">
        <v>4</v>
      </c>
      <c r="H1945" s="13">
        <v>5000</v>
      </c>
      <c r="I1945" s="14">
        <f t="shared" si="69"/>
        <v>0.28094800000000014</v>
      </c>
      <c r="J1945" s="13">
        <f t="shared" si="70"/>
        <v>227207.19999999998</v>
      </c>
    </row>
    <row r="1946" spans="1:10" x14ac:dyDescent="0.25">
      <c r="A1946" s="10">
        <v>41902</v>
      </c>
      <c r="B1946" s="11" t="s">
        <v>8</v>
      </c>
      <c r="C1946" s="11" t="s">
        <v>5</v>
      </c>
      <c r="D1946" s="16" t="str">
        <f>HYPERLINK("https://freddywills.com/pick/948/fl-atlantic-4.html", "FL Atlantic +4")</f>
        <v>FL Atlantic +4</v>
      </c>
      <c r="E1946" s="11">
        <v>4.4000000000000004</v>
      </c>
      <c r="F1946" s="11">
        <v>-1.1000000000000001</v>
      </c>
      <c r="G1946" s="11" t="s">
        <v>4</v>
      </c>
      <c r="H1946" s="13">
        <v>4000</v>
      </c>
      <c r="I1946" s="14">
        <f t="shared" si="69"/>
        <v>0.23094800000000013</v>
      </c>
      <c r="J1946" s="13">
        <f t="shared" si="70"/>
        <v>222207.19999999998</v>
      </c>
    </row>
    <row r="1947" spans="1:10" x14ac:dyDescent="0.25">
      <c r="A1947" s="10">
        <v>41902</v>
      </c>
      <c r="B1947" s="11" t="s">
        <v>8</v>
      </c>
      <c r="C1947" s="11" t="s">
        <v>5</v>
      </c>
      <c r="D1947" s="16" t="str">
        <f>HYPERLINK("https://freddywills.com/pick/949/utah-4.html", "Utah +4")</f>
        <v>Utah +4</v>
      </c>
      <c r="E1947" s="11">
        <v>3.3</v>
      </c>
      <c r="F1947" s="11">
        <v>-1.1000000000000001</v>
      </c>
      <c r="G1947" s="11" t="s">
        <v>4</v>
      </c>
      <c r="H1947" s="13">
        <v>3000</v>
      </c>
      <c r="I1947" s="14">
        <f t="shared" si="69"/>
        <v>0.19094800000000012</v>
      </c>
      <c r="J1947" s="13">
        <f t="shared" si="70"/>
        <v>218207.19999999998</v>
      </c>
    </row>
    <row r="1948" spans="1:10" x14ac:dyDescent="0.25">
      <c r="A1948" s="10">
        <v>41902</v>
      </c>
      <c r="B1948" s="11" t="s">
        <v>8</v>
      </c>
      <c r="C1948" s="11" t="s">
        <v>10</v>
      </c>
      <c r="D1948" s="16" t="str">
        <f>HYPERLINK("https://freddywills.com/pick/950/miss-st-15-5-utah-st-8.html", "Miss St +15.5 / Utah St +8")</f>
        <v>Miss St +15.5 / Utah St +8</v>
      </c>
      <c r="E1948" s="11">
        <v>4.4000000000000004</v>
      </c>
      <c r="F1948" s="11">
        <v>-1.1000000000000001</v>
      </c>
      <c r="G1948" s="11" t="s">
        <v>4</v>
      </c>
      <c r="H1948" s="13">
        <v>4000</v>
      </c>
      <c r="I1948" s="14">
        <f t="shared" si="69"/>
        <v>0.16094800000000012</v>
      </c>
      <c r="J1948" s="13">
        <f t="shared" si="70"/>
        <v>215207.19999999998</v>
      </c>
    </row>
    <row r="1949" spans="1:10" x14ac:dyDescent="0.25">
      <c r="A1949" s="10">
        <v>41902</v>
      </c>
      <c r="B1949" s="11" t="s">
        <v>8</v>
      </c>
      <c r="C1949" s="11" t="s">
        <v>5</v>
      </c>
      <c r="D1949" s="16" t="str">
        <f>HYPERLINK("https://freddywills.com/pick/951/north-carolina-3.html", "North Carolina +3")</f>
        <v>North Carolina +3</v>
      </c>
      <c r="E1949" s="11">
        <v>2.2000000000000002</v>
      </c>
      <c r="F1949" s="11">
        <v>-1.1000000000000001</v>
      </c>
      <c r="G1949" s="11" t="s">
        <v>6</v>
      </c>
      <c r="H1949" s="13">
        <v>-2200</v>
      </c>
      <c r="I1949" s="14">
        <f t="shared" si="69"/>
        <v>0.12094800000000011</v>
      </c>
      <c r="J1949" s="13">
        <f t="shared" si="70"/>
        <v>211207.19999999998</v>
      </c>
    </row>
    <row r="1950" spans="1:10" x14ac:dyDescent="0.25">
      <c r="A1950" s="10">
        <v>41901</v>
      </c>
      <c r="B1950" s="11" t="s">
        <v>8</v>
      </c>
      <c r="C1950" s="11" t="s">
        <v>5</v>
      </c>
      <c r="D1950" s="16" t="str">
        <f>HYPERLINK("https://freddywills.com/pick/953/uconn-3-115.html", "Uconn +3 -115")</f>
        <v>Uconn +3 -115</v>
      </c>
      <c r="E1950" s="11">
        <v>4.5</v>
      </c>
      <c r="F1950" s="11">
        <v>-1.1000000000000001</v>
      </c>
      <c r="G1950" s="11" t="s">
        <v>9</v>
      </c>
      <c r="H1950" s="13">
        <v>0</v>
      </c>
      <c r="I1950" s="14">
        <f t="shared" si="69"/>
        <v>0.1429480000000001</v>
      </c>
      <c r="J1950" s="13">
        <f t="shared" si="70"/>
        <v>213407.19999999998</v>
      </c>
    </row>
    <row r="1951" spans="1:10" x14ac:dyDescent="0.25">
      <c r="A1951" s="10">
        <v>41901</v>
      </c>
      <c r="B1951" s="11" t="s">
        <v>8</v>
      </c>
      <c r="C1951" s="11" t="s">
        <v>5</v>
      </c>
      <c r="D1951" s="16" t="str">
        <f>HYPERLINK("https://freddywills.com/pick/954/iowa-230.html", "Iowa +230")</f>
        <v>Iowa +230</v>
      </c>
      <c r="E1951" s="11">
        <v>1</v>
      </c>
      <c r="F1951" s="11">
        <v>-1.1000000000000001</v>
      </c>
      <c r="G1951" s="11" t="s">
        <v>4</v>
      </c>
      <c r="H1951" s="13">
        <v>909.09</v>
      </c>
      <c r="I1951" s="14">
        <f t="shared" si="69"/>
        <v>0.1429480000000001</v>
      </c>
      <c r="J1951" s="13">
        <f t="shared" si="70"/>
        <v>213407.19999999998</v>
      </c>
    </row>
    <row r="1952" spans="1:10" x14ac:dyDescent="0.25">
      <c r="A1952" s="10">
        <v>41901</v>
      </c>
      <c r="B1952" s="11" t="s">
        <v>8</v>
      </c>
      <c r="C1952" s="11" t="s">
        <v>5</v>
      </c>
      <c r="D1952" s="16" t="str">
        <f>HYPERLINK("https://freddywills.com/pick/955/west-virginia-8.html", "West Virginia +8")</f>
        <v>West Virginia +8</v>
      </c>
      <c r="E1952" s="11">
        <v>3.3</v>
      </c>
      <c r="F1952" s="11">
        <v>-1.1000000000000001</v>
      </c>
      <c r="G1952" s="11" t="s">
        <v>6</v>
      </c>
      <c r="H1952" s="13">
        <v>-3300</v>
      </c>
      <c r="I1952" s="14">
        <f t="shared" si="69"/>
        <v>0.13385710000000009</v>
      </c>
      <c r="J1952" s="13">
        <f t="shared" si="70"/>
        <v>212498.11</v>
      </c>
    </row>
    <row r="1953" spans="1:10" x14ac:dyDescent="0.25">
      <c r="A1953" s="10">
        <v>41900</v>
      </c>
      <c r="B1953" s="11" t="s">
        <v>8</v>
      </c>
      <c r="C1953" s="11" t="s">
        <v>5</v>
      </c>
      <c r="D1953" s="16" t="str">
        <f>HYPERLINK("https://freddywills.com/pick/956/kansas-state-9-5-105.html", "Kansas State +9.5 -105")</f>
        <v>Kansas State +9.5 -105</v>
      </c>
      <c r="E1953" s="11">
        <v>4.5</v>
      </c>
      <c r="F1953" s="11">
        <v>-1.05</v>
      </c>
      <c r="G1953" s="11" t="s">
        <v>4</v>
      </c>
      <c r="H1953" s="13">
        <v>4285.71</v>
      </c>
      <c r="I1953" s="14">
        <f t="shared" si="69"/>
        <v>0.16685710000000009</v>
      </c>
      <c r="J1953" s="13">
        <f t="shared" si="70"/>
        <v>215798.11</v>
      </c>
    </row>
    <row r="1954" spans="1:10" x14ac:dyDescent="0.25">
      <c r="A1954" s="10">
        <v>41897</v>
      </c>
      <c r="B1954" s="11" t="s">
        <v>2</v>
      </c>
      <c r="C1954" s="11" t="s">
        <v>5</v>
      </c>
      <c r="D1954" s="16" t="str">
        <f>HYPERLINK("https://freddywills.com/pick/958/eagles-3.html", "Eagles +3")</f>
        <v>Eagles +3</v>
      </c>
      <c r="E1954" s="11">
        <v>4.4000000000000004</v>
      </c>
      <c r="F1954" s="11">
        <v>-1.1000000000000001</v>
      </c>
      <c r="G1954" s="11" t="s">
        <v>4</v>
      </c>
      <c r="H1954" s="13">
        <v>4000</v>
      </c>
      <c r="I1954" s="14">
        <f t="shared" si="69"/>
        <v>0.12400000000000008</v>
      </c>
      <c r="J1954" s="13">
        <f t="shared" si="70"/>
        <v>211512.4</v>
      </c>
    </row>
    <row r="1955" spans="1:10" x14ac:dyDescent="0.25">
      <c r="A1955" s="10">
        <v>41896</v>
      </c>
      <c r="B1955" s="11" t="s">
        <v>2</v>
      </c>
      <c r="C1955" s="11" t="s">
        <v>5</v>
      </c>
      <c r="D1955" s="16" t="str">
        <f>HYPERLINK("https://freddywills.com/pick/959/giants-1.html", "Giants +1")</f>
        <v>Giants +1</v>
      </c>
      <c r="E1955" s="11">
        <v>3.3</v>
      </c>
      <c r="F1955" s="11">
        <v>-1.1000000000000001</v>
      </c>
      <c r="G1955" s="11" t="s">
        <v>6</v>
      </c>
      <c r="H1955" s="13">
        <v>-3300</v>
      </c>
      <c r="I1955" s="14">
        <f t="shared" si="69"/>
        <v>8.4000000000000075E-2</v>
      </c>
      <c r="J1955" s="13">
        <f t="shared" si="70"/>
        <v>207512.4</v>
      </c>
    </row>
    <row r="1956" spans="1:10" x14ac:dyDescent="0.25">
      <c r="A1956" s="10">
        <v>41896</v>
      </c>
      <c r="B1956" s="11" t="s">
        <v>2</v>
      </c>
      <c r="C1956" s="11" t="s">
        <v>5</v>
      </c>
      <c r="D1956" s="16" t="str">
        <f>HYPERLINK("https://freddywills.com/pick/960/chargers-5.html", "Chargers +5")</f>
        <v>Chargers +5</v>
      </c>
      <c r="E1956" s="11">
        <v>4.4000000000000004</v>
      </c>
      <c r="F1956" s="11">
        <v>-1.1000000000000001</v>
      </c>
      <c r="G1956" s="11" t="s">
        <v>4</v>
      </c>
      <c r="H1956" s="13">
        <v>4000</v>
      </c>
      <c r="I1956" s="14">
        <f t="shared" si="69"/>
        <v>0.11700000000000008</v>
      </c>
      <c r="J1956" s="13">
        <f t="shared" si="70"/>
        <v>210812.4</v>
      </c>
    </row>
    <row r="1957" spans="1:10" x14ac:dyDescent="0.25">
      <c r="A1957" s="10">
        <v>41896</v>
      </c>
      <c r="B1957" s="11" t="s">
        <v>2</v>
      </c>
      <c r="C1957" s="11" t="s">
        <v>5</v>
      </c>
      <c r="D1957" s="16" t="str">
        <f>HYPERLINK("https://freddywills.com/pick/961/cowboys-3-5.html", "Cowboys +3.5")</f>
        <v>Cowboys +3.5</v>
      </c>
      <c r="E1957" s="11">
        <v>5.5</v>
      </c>
      <c r="F1957" s="11">
        <v>-1.1000000000000001</v>
      </c>
      <c r="G1957" s="11" t="s">
        <v>4</v>
      </c>
      <c r="H1957" s="13">
        <v>5000</v>
      </c>
      <c r="I1957" s="14">
        <f t="shared" si="69"/>
        <v>7.7000000000000082E-2</v>
      </c>
      <c r="J1957" s="13">
        <f t="shared" si="70"/>
        <v>206812.4</v>
      </c>
    </row>
    <row r="1958" spans="1:10" x14ac:dyDescent="0.25">
      <c r="A1958" s="10">
        <v>41895</v>
      </c>
      <c r="B1958" s="11" t="s">
        <v>8</v>
      </c>
      <c r="C1958" s="11" t="s">
        <v>5</v>
      </c>
      <c r="D1958" s="16" t="str">
        <f>HYPERLINK("https://freddywills.com/pick/962/east-carolina-10.html", "East Carolina +10")</f>
        <v>East Carolina +10</v>
      </c>
      <c r="E1958" s="11">
        <v>3.3</v>
      </c>
      <c r="F1958" s="11">
        <v>-1.1000000000000001</v>
      </c>
      <c r="G1958" s="11" t="s">
        <v>4</v>
      </c>
      <c r="H1958" s="13">
        <v>3000</v>
      </c>
      <c r="I1958" s="14">
        <f t="shared" si="69"/>
        <v>2.7000000000000079E-2</v>
      </c>
      <c r="J1958" s="13">
        <f t="shared" si="70"/>
        <v>201812.4</v>
      </c>
    </row>
    <row r="1959" spans="1:10" x14ac:dyDescent="0.25">
      <c r="A1959" s="10">
        <v>41895</v>
      </c>
      <c r="B1959" s="11" t="s">
        <v>8</v>
      </c>
      <c r="C1959" s="11" t="s">
        <v>5</v>
      </c>
      <c r="D1959" s="16" t="str">
        <f>HYPERLINK("https://freddywills.com/pick/963/arkansas-1-5.html", "Arkansas +1.5")</f>
        <v>Arkansas +1.5</v>
      </c>
      <c r="E1959" s="11">
        <v>5.5</v>
      </c>
      <c r="F1959" s="11">
        <v>-1.1000000000000001</v>
      </c>
      <c r="G1959" s="11" t="s">
        <v>4</v>
      </c>
      <c r="H1959" s="13">
        <v>5000</v>
      </c>
      <c r="I1959" s="14">
        <f t="shared" si="69"/>
        <v>-2.9999999999999194E-3</v>
      </c>
      <c r="J1959" s="13">
        <f t="shared" si="70"/>
        <v>198812.4</v>
      </c>
    </row>
    <row r="1960" spans="1:10" x14ac:dyDescent="0.25">
      <c r="A1960" s="10">
        <v>41895</v>
      </c>
      <c r="B1960" s="11" t="s">
        <v>8</v>
      </c>
      <c r="C1960" s="11" t="s">
        <v>5</v>
      </c>
      <c r="D1960" s="16" t="str">
        <f>HYPERLINK("https://freddywills.com/pick/964/wake-forest-15.html", "Wake Forest +15")</f>
        <v>Wake Forest +15</v>
      </c>
      <c r="E1960" s="11">
        <v>2.2000000000000002</v>
      </c>
      <c r="F1960" s="11">
        <v>-1.1000000000000001</v>
      </c>
      <c r="G1960" s="11" t="s">
        <v>4</v>
      </c>
      <c r="H1960" s="13">
        <v>2000</v>
      </c>
      <c r="I1960" s="14">
        <f t="shared" si="69"/>
        <v>-5.2999999999999922E-2</v>
      </c>
      <c r="J1960" s="13">
        <f t="shared" si="70"/>
        <v>193812.4</v>
      </c>
    </row>
    <row r="1961" spans="1:10" x14ac:dyDescent="0.25">
      <c r="A1961" s="10">
        <v>41895</v>
      </c>
      <c r="B1961" s="11" t="s">
        <v>8</v>
      </c>
      <c r="C1961" s="11" t="s">
        <v>5</v>
      </c>
      <c r="D1961" s="16" t="str">
        <f>HYPERLINK("https://freddywills.com/pick/965/texas-8.html", "Texas +8")</f>
        <v>Texas +8</v>
      </c>
      <c r="E1961" s="11">
        <v>4.4000000000000004</v>
      </c>
      <c r="F1961" s="11">
        <v>-1.1000000000000001</v>
      </c>
      <c r="G1961" s="11" t="s">
        <v>4</v>
      </c>
      <c r="H1961" s="13">
        <v>4000</v>
      </c>
      <c r="I1961" s="14">
        <f t="shared" si="69"/>
        <v>-7.2999999999999926E-2</v>
      </c>
      <c r="J1961" s="13">
        <f t="shared" si="70"/>
        <v>191812.4</v>
      </c>
    </row>
    <row r="1962" spans="1:10" x14ac:dyDescent="0.25">
      <c r="A1962" s="10">
        <v>41895</v>
      </c>
      <c r="B1962" s="11" t="s">
        <v>8</v>
      </c>
      <c r="C1962" s="11" t="s">
        <v>5</v>
      </c>
      <c r="D1962" s="16" t="str">
        <f>HYPERLINK("https://freddywills.com/pick/966/ga-southern-17.html", "GA Southern +17")</f>
        <v>GA Southern +17</v>
      </c>
      <c r="E1962" s="11">
        <v>1.1000000000000001</v>
      </c>
      <c r="F1962" s="11">
        <v>-1.1000000000000001</v>
      </c>
      <c r="G1962" s="11" t="s">
        <v>4</v>
      </c>
      <c r="H1962" s="13">
        <v>1000</v>
      </c>
      <c r="I1962" s="14">
        <f t="shared" si="69"/>
        <v>-0.11299999999999992</v>
      </c>
      <c r="J1962" s="13">
        <f t="shared" si="70"/>
        <v>187812.4</v>
      </c>
    </row>
    <row r="1963" spans="1:10" x14ac:dyDescent="0.25">
      <c r="A1963" s="10">
        <v>41894</v>
      </c>
      <c r="B1963" s="11" t="s">
        <v>8</v>
      </c>
      <c r="C1963" s="11" t="s">
        <v>5</v>
      </c>
      <c r="D1963" s="16" t="str">
        <f>HYPERLINK("https://freddywills.com/pick/967/toledo-10.html", "Toledo +10")</f>
        <v>Toledo +10</v>
      </c>
      <c r="E1963" s="11">
        <v>2.2000000000000002</v>
      </c>
      <c r="F1963" s="11">
        <v>-1.1000000000000001</v>
      </c>
      <c r="G1963" s="11" t="s">
        <v>6</v>
      </c>
      <c r="H1963" s="13">
        <v>-2200</v>
      </c>
      <c r="I1963" s="14">
        <f t="shared" si="69"/>
        <v>-0.12299999999999991</v>
      </c>
      <c r="J1963" s="13">
        <f t="shared" si="70"/>
        <v>186812.4</v>
      </c>
    </row>
    <row r="1964" spans="1:10" x14ac:dyDescent="0.25">
      <c r="A1964" s="10">
        <v>41893</v>
      </c>
      <c r="B1964" s="11" t="s">
        <v>8</v>
      </c>
      <c r="C1964" s="11" t="s">
        <v>5</v>
      </c>
      <c r="D1964" s="16" t="str">
        <f>HYPERLINK("https://freddywills.com/pick/968/la-tech-4.html", "LA Tech +4")</f>
        <v>LA Tech +4</v>
      </c>
      <c r="E1964" s="11">
        <v>4.4000000000000004</v>
      </c>
      <c r="F1964" s="11">
        <v>-1.1000000000000001</v>
      </c>
      <c r="G1964" s="11" t="s">
        <v>4</v>
      </c>
      <c r="H1964" s="13">
        <v>4000</v>
      </c>
      <c r="I1964" s="14">
        <f t="shared" si="69"/>
        <v>-0.10099999999999992</v>
      </c>
      <c r="J1964" s="13">
        <f t="shared" si="70"/>
        <v>189012.4</v>
      </c>
    </row>
    <row r="1965" spans="1:10" x14ac:dyDescent="0.25">
      <c r="A1965" s="10">
        <v>41893</v>
      </c>
      <c r="B1965" s="11" t="s">
        <v>2</v>
      </c>
      <c r="C1965" s="11" t="s">
        <v>5</v>
      </c>
      <c r="D1965" s="16" t="str">
        <f>HYPERLINK("https://freddywills.com/pick/969/baltimore-2-5.html", "Baltimore -2.5")</f>
        <v>Baltimore -2.5</v>
      </c>
      <c r="E1965" s="11">
        <v>4.4000000000000004</v>
      </c>
      <c r="F1965" s="11">
        <v>-1.1000000000000001</v>
      </c>
      <c r="G1965" s="11" t="s">
        <v>4</v>
      </c>
      <c r="H1965" s="13">
        <v>4000</v>
      </c>
      <c r="I1965" s="14">
        <f t="shared" si="69"/>
        <v>-0.14099999999999993</v>
      </c>
      <c r="J1965" s="13">
        <f t="shared" si="70"/>
        <v>185012.4</v>
      </c>
    </row>
    <row r="1966" spans="1:10" x14ac:dyDescent="0.25">
      <c r="A1966" s="10">
        <v>41890</v>
      </c>
      <c r="B1966" s="11" t="s">
        <v>2</v>
      </c>
      <c r="C1966" s="11" t="s">
        <v>5</v>
      </c>
      <c r="D1966" s="16" t="str">
        <f>HYPERLINK("https://freddywills.com/pick/970/giants-4-5.html", "Giants +4.5")</f>
        <v>Giants +4.5</v>
      </c>
      <c r="E1966" s="11">
        <v>4.4000000000000004</v>
      </c>
      <c r="F1966" s="11">
        <v>-1.1000000000000001</v>
      </c>
      <c r="G1966" s="11" t="s">
        <v>6</v>
      </c>
      <c r="H1966" s="13">
        <v>-4400</v>
      </c>
      <c r="I1966" s="14">
        <f t="shared" si="69"/>
        <v>-0.18099999999999994</v>
      </c>
      <c r="J1966" s="13">
        <f t="shared" si="70"/>
        <v>181012.4</v>
      </c>
    </row>
    <row r="1967" spans="1:10" x14ac:dyDescent="0.25">
      <c r="A1967" s="10">
        <v>41889</v>
      </c>
      <c r="B1967" s="11" t="s">
        <v>2</v>
      </c>
      <c r="C1967" s="11" t="s">
        <v>5</v>
      </c>
      <c r="D1967" s="16" t="str">
        <f>HYPERLINK("https://freddywills.com/pick/973/tampa-bucs-2-5.html", "Tampa Bucs -2.5")</f>
        <v>Tampa Bucs -2.5</v>
      </c>
      <c r="E1967" s="11">
        <v>3.3</v>
      </c>
      <c r="F1967" s="11">
        <v>-1.1000000000000001</v>
      </c>
      <c r="G1967" s="11" t="s">
        <v>6</v>
      </c>
      <c r="H1967" s="13">
        <v>-3300</v>
      </c>
      <c r="I1967" s="14">
        <f t="shared" si="69"/>
        <v>-0.13699999999999996</v>
      </c>
      <c r="J1967" s="13">
        <f t="shared" si="70"/>
        <v>185412.4</v>
      </c>
    </row>
    <row r="1968" spans="1:10" x14ac:dyDescent="0.25">
      <c r="A1968" s="10">
        <v>41889</v>
      </c>
      <c r="B1968" s="11" t="s">
        <v>2</v>
      </c>
      <c r="C1968" s="11" t="s">
        <v>5</v>
      </c>
      <c r="D1968" s="16" t="str">
        <f>HYPERLINK("https://freddywills.com/pick/974/falcons-3.html", "Falcons +3")</f>
        <v>Falcons +3</v>
      </c>
      <c r="E1968" s="11">
        <v>5.5</v>
      </c>
      <c r="F1968" s="11">
        <v>-1.1000000000000001</v>
      </c>
      <c r="G1968" s="11" t="s">
        <v>4</v>
      </c>
      <c r="H1968" s="13">
        <v>5000</v>
      </c>
      <c r="I1968" s="14">
        <f t="shared" si="69"/>
        <v>-0.10399999999999997</v>
      </c>
      <c r="J1968" s="13">
        <f t="shared" si="70"/>
        <v>188712.4</v>
      </c>
    </row>
    <row r="1969" spans="1:10" x14ac:dyDescent="0.25">
      <c r="A1969" s="10">
        <v>41889</v>
      </c>
      <c r="B1969" s="11" t="s">
        <v>2</v>
      </c>
      <c r="C1969" s="11" t="s">
        <v>5</v>
      </c>
      <c r="D1969" s="16" t="str">
        <f>HYPERLINK("https://freddywills.com/pick/975/bills-7.html", "Bills +7")</f>
        <v>Bills +7</v>
      </c>
      <c r="E1969" s="11">
        <v>3.3</v>
      </c>
      <c r="F1969" s="11">
        <v>-1.1000000000000001</v>
      </c>
      <c r="G1969" s="11" t="s">
        <v>4</v>
      </c>
      <c r="H1969" s="13">
        <v>3000</v>
      </c>
      <c r="I1969" s="14">
        <f t="shared" si="69"/>
        <v>-0.15399999999999997</v>
      </c>
      <c r="J1969" s="13">
        <f t="shared" si="70"/>
        <v>183712.4</v>
      </c>
    </row>
    <row r="1970" spans="1:10" x14ac:dyDescent="0.25">
      <c r="A1970" s="10">
        <v>41888</v>
      </c>
      <c r="B1970" s="11" t="s">
        <v>8</v>
      </c>
      <c r="C1970" s="11" t="s">
        <v>5</v>
      </c>
      <c r="D1970" s="16" t="str">
        <f>HYPERLINK("https://freddywills.com/pick/976/air-force-2-5.html", "Air Force -2.5")</f>
        <v>Air Force -2.5</v>
      </c>
      <c r="E1970" s="11">
        <v>3.3</v>
      </c>
      <c r="F1970" s="11">
        <v>-1.1000000000000001</v>
      </c>
      <c r="G1970" s="11" t="s">
        <v>6</v>
      </c>
      <c r="H1970" s="13">
        <v>-3300</v>
      </c>
      <c r="I1970" s="14">
        <f t="shared" si="69"/>
        <v>-0.18399999999999997</v>
      </c>
      <c r="J1970" s="13">
        <f t="shared" si="70"/>
        <v>180712.4</v>
      </c>
    </row>
    <row r="1971" spans="1:10" x14ac:dyDescent="0.25">
      <c r="A1971" s="10">
        <v>41888</v>
      </c>
      <c r="B1971" s="11" t="s">
        <v>8</v>
      </c>
      <c r="C1971" s="11" t="s">
        <v>5</v>
      </c>
      <c r="D1971" s="16" t="str">
        <f>HYPERLINK("https://freddywills.com/pick/977/oregon-11.html", "Oregon -11")</f>
        <v>Oregon -11</v>
      </c>
      <c r="E1971" s="11">
        <v>1.1000000000000001</v>
      </c>
      <c r="F1971" s="11">
        <v>-1.1000000000000001</v>
      </c>
      <c r="G1971" s="11" t="s">
        <v>4</v>
      </c>
      <c r="H1971" s="13">
        <v>1000</v>
      </c>
      <c r="I1971" s="14">
        <f t="shared" si="69"/>
        <v>-0.15099999999999997</v>
      </c>
      <c r="J1971" s="13">
        <f t="shared" si="70"/>
        <v>184012.4</v>
      </c>
    </row>
    <row r="1972" spans="1:10" x14ac:dyDescent="0.25">
      <c r="A1972" s="10">
        <v>41888</v>
      </c>
      <c r="B1972" s="11" t="s">
        <v>8</v>
      </c>
      <c r="C1972" s="11" t="s">
        <v>5</v>
      </c>
      <c r="D1972" s="16" t="str">
        <f>HYPERLINK("https://freddywills.com/pick/978/michigan-3-5.html", "Michigan +3.5")</f>
        <v>Michigan +3.5</v>
      </c>
      <c r="E1972" s="11">
        <v>3.3</v>
      </c>
      <c r="F1972" s="11">
        <v>-1.1000000000000001</v>
      </c>
      <c r="G1972" s="11" t="s">
        <v>6</v>
      </c>
      <c r="H1972" s="13">
        <v>-3300</v>
      </c>
      <c r="I1972" s="14">
        <f t="shared" si="69"/>
        <v>-0.16099999999999998</v>
      </c>
      <c r="J1972" s="13">
        <f t="shared" si="70"/>
        <v>183012.4</v>
      </c>
    </row>
    <row r="1973" spans="1:10" x14ac:dyDescent="0.25">
      <c r="A1973" s="10">
        <v>41888</v>
      </c>
      <c r="B1973" s="11" t="s">
        <v>8</v>
      </c>
      <c r="C1973" s="11" t="s">
        <v>5</v>
      </c>
      <c r="D1973" s="16" t="str">
        <f>HYPERLINK("https://freddywills.com/pick/979/navy-3.html", "Navy -3")</f>
        <v>Navy -3</v>
      </c>
      <c r="E1973" s="11">
        <v>3.3</v>
      </c>
      <c r="F1973" s="11">
        <v>-1.1000000000000001</v>
      </c>
      <c r="G1973" s="11" t="s">
        <v>4</v>
      </c>
      <c r="H1973" s="13">
        <v>3000</v>
      </c>
      <c r="I1973" s="14">
        <f t="shared" si="69"/>
        <v>-0.12799999999999997</v>
      </c>
      <c r="J1973" s="13">
        <f t="shared" si="70"/>
        <v>186312.4</v>
      </c>
    </row>
    <row r="1974" spans="1:10" x14ac:dyDescent="0.25">
      <c r="A1974" s="10">
        <v>41888</v>
      </c>
      <c r="B1974" s="11" t="s">
        <v>8</v>
      </c>
      <c r="C1974" s="11" t="s">
        <v>5</v>
      </c>
      <c r="D1974" s="16" t="str">
        <f>HYPERLINK("https://freddywills.com/pick/980/stanford-2-5.html", "STanford -2.5")</f>
        <v>STanford -2.5</v>
      </c>
      <c r="E1974" s="11">
        <v>2.2000000000000002</v>
      </c>
      <c r="F1974" s="11">
        <v>-1.1000000000000001</v>
      </c>
      <c r="G1974" s="11" t="s">
        <v>6</v>
      </c>
      <c r="H1974" s="13">
        <v>-2200</v>
      </c>
      <c r="I1974" s="14">
        <f t="shared" si="69"/>
        <v>-0.15799999999999997</v>
      </c>
      <c r="J1974" s="13">
        <f t="shared" si="70"/>
        <v>183312.4</v>
      </c>
    </row>
    <row r="1975" spans="1:10" x14ac:dyDescent="0.25">
      <c r="A1975" s="10">
        <v>41888</v>
      </c>
      <c r="B1975" s="11" t="s">
        <v>8</v>
      </c>
      <c r="C1975" s="11" t="s">
        <v>5</v>
      </c>
      <c r="D1975" s="16" t="str">
        <f>HYPERLINK("https://freddywills.com/pick/981/vandy-20.html", "Vandy +20")</f>
        <v>Vandy +20</v>
      </c>
      <c r="E1975" s="11">
        <v>5.5</v>
      </c>
      <c r="F1975" s="11">
        <v>-1.1000000000000001</v>
      </c>
      <c r="G1975" s="11" t="s">
        <v>6</v>
      </c>
      <c r="H1975" s="13">
        <v>-5500</v>
      </c>
      <c r="I1975" s="14">
        <f t="shared" si="69"/>
        <v>-0.13599999999999998</v>
      </c>
      <c r="J1975" s="13">
        <f t="shared" si="70"/>
        <v>185512.4</v>
      </c>
    </row>
    <row r="1976" spans="1:10" x14ac:dyDescent="0.25">
      <c r="A1976" s="10">
        <v>41886</v>
      </c>
      <c r="B1976" s="11" t="s">
        <v>2</v>
      </c>
      <c r="C1976" s="11" t="s">
        <v>5</v>
      </c>
      <c r="D1976" s="16" t="str">
        <f>HYPERLINK("https://freddywills.com/pick/984/packers-6.html", "Packers +6")</f>
        <v>Packers +6</v>
      </c>
      <c r="E1976" s="11">
        <v>2.2000000000000002</v>
      </c>
      <c r="F1976" s="11">
        <v>-1.1000000000000001</v>
      </c>
      <c r="G1976" s="11" t="s">
        <v>6</v>
      </c>
      <c r="H1976" s="13">
        <v>-2200</v>
      </c>
      <c r="I1976" s="14">
        <f t="shared" si="69"/>
        <v>-8.0999999999999989E-2</v>
      </c>
      <c r="J1976" s="13">
        <f t="shared" si="70"/>
        <v>191012.4</v>
      </c>
    </row>
    <row r="1977" spans="1:10" x14ac:dyDescent="0.25">
      <c r="A1977" s="10">
        <v>41886</v>
      </c>
      <c r="B1977" s="11" t="s">
        <v>8</v>
      </c>
      <c r="C1977" s="11" t="s">
        <v>5</v>
      </c>
      <c r="D1977" s="16" t="str">
        <f>HYPERLINK("https://freddywills.com/pick/985/arizona-7-104.html", "Arizona -7 -104")</f>
        <v>Arizona -7 -104</v>
      </c>
      <c r="E1977" s="11">
        <v>4.5</v>
      </c>
      <c r="F1977" s="11">
        <v>-1.04</v>
      </c>
      <c r="G1977" s="11" t="s">
        <v>6</v>
      </c>
      <c r="H1977" s="13">
        <v>-4500</v>
      </c>
      <c r="I1977" s="14">
        <f t="shared" si="69"/>
        <v>-5.8999999999999997E-2</v>
      </c>
      <c r="J1977" s="13">
        <f t="shared" si="70"/>
        <v>193212.4</v>
      </c>
    </row>
    <row r="1978" spans="1:10" x14ac:dyDescent="0.25">
      <c r="A1978" s="10">
        <v>41882</v>
      </c>
      <c r="B1978" s="11" t="s">
        <v>8</v>
      </c>
      <c r="C1978" s="11" t="s">
        <v>5</v>
      </c>
      <c r="D1978" s="16" t="str">
        <f>HYPERLINK("https://freddywills.com/pick/987/utah-state-5.html", "Utah State +5")</f>
        <v>Utah State +5</v>
      </c>
      <c r="E1978" s="11">
        <v>4.4000000000000004</v>
      </c>
      <c r="F1978" s="11">
        <v>-1.1000000000000001</v>
      </c>
      <c r="G1978" s="11" t="s">
        <v>6</v>
      </c>
      <c r="H1978" s="13">
        <v>-4400</v>
      </c>
      <c r="I1978" s="14">
        <f t="shared" si="69"/>
        <v>-1.3999999999999995E-2</v>
      </c>
      <c r="J1978" s="13">
        <f t="shared" si="70"/>
        <v>197712.4</v>
      </c>
    </row>
    <row r="1979" spans="1:10" x14ac:dyDescent="0.25">
      <c r="A1979" s="10">
        <v>41881</v>
      </c>
      <c r="B1979" s="11" t="s">
        <v>8</v>
      </c>
      <c r="C1979" s="11" t="s">
        <v>5</v>
      </c>
      <c r="D1979" s="16" t="str">
        <f>HYPERLINK("https://freddywills.com/pick/988/virginia-21.html", "Virginia +21")</f>
        <v>Virginia +21</v>
      </c>
      <c r="E1979" s="11">
        <v>5.5</v>
      </c>
      <c r="F1979" s="11">
        <v>-1.1000000000000001</v>
      </c>
      <c r="G1979" s="11" t="s">
        <v>4</v>
      </c>
      <c r="H1979" s="13">
        <v>5000</v>
      </c>
      <c r="I1979" s="14">
        <f t="shared" si="69"/>
        <v>3.0000000000000002E-2</v>
      </c>
      <c r="J1979" s="13">
        <f t="shared" si="70"/>
        <v>202112.4</v>
      </c>
    </row>
    <row r="1980" spans="1:10" x14ac:dyDescent="0.25">
      <c r="A1980" s="10">
        <v>41881</v>
      </c>
      <c r="B1980" s="11" t="s">
        <v>8</v>
      </c>
      <c r="C1980" s="11" t="s">
        <v>7</v>
      </c>
      <c r="D1980" s="16" t="str">
        <f>HYPERLINK("https://freddywills.com/pick/989/clemson-ga-u55.html", "Clemson/GA U55")</f>
        <v>Clemson/GA U55</v>
      </c>
      <c r="E1980" s="11">
        <v>1.1000000000000001</v>
      </c>
      <c r="F1980" s="11">
        <v>-1.1000000000000001</v>
      </c>
      <c r="G1980" s="11" t="s">
        <v>6</v>
      </c>
      <c r="H1980" s="13">
        <v>-1100</v>
      </c>
      <c r="I1980" s="14">
        <f t="shared" ref="I1980:I1987" si="71">(H1980/100000)+I1981</f>
        <v>-0.02</v>
      </c>
      <c r="J1980" s="13">
        <f t="shared" ref="J1980:J2043" si="72">H1980+J1981</f>
        <v>197112.4</v>
      </c>
    </row>
    <row r="1981" spans="1:10" x14ac:dyDescent="0.25">
      <c r="A1981" s="10">
        <v>41881</v>
      </c>
      <c r="B1981" s="11" t="s">
        <v>8</v>
      </c>
      <c r="C1981" s="11" t="s">
        <v>5</v>
      </c>
      <c r="D1981" s="16" t="str">
        <f>HYPERLINK("https://freddywills.com/pick/990/ucf-2.html", "UCF -2")</f>
        <v>UCF -2</v>
      </c>
      <c r="E1981" s="11">
        <v>3.3</v>
      </c>
      <c r="F1981" s="11">
        <v>-1.1000000000000001</v>
      </c>
      <c r="G1981" s="11" t="s">
        <v>6</v>
      </c>
      <c r="H1981" s="13">
        <v>-3300</v>
      </c>
      <c r="I1981" s="14">
        <f t="shared" si="71"/>
        <v>-9.0000000000000011E-3</v>
      </c>
      <c r="J1981" s="13">
        <f t="shared" si="72"/>
        <v>198212.4</v>
      </c>
    </row>
    <row r="1982" spans="1:10" x14ac:dyDescent="0.25">
      <c r="A1982" s="10">
        <v>41881</v>
      </c>
      <c r="B1982" s="11" t="s">
        <v>8</v>
      </c>
      <c r="C1982" s="11" t="s">
        <v>5</v>
      </c>
      <c r="D1982" s="16" t="str">
        <f>HYPERLINK("https://freddywills.com/pick/991/arkansas-18-5.html", "Arkansas +18.5")</f>
        <v>Arkansas +18.5</v>
      </c>
      <c r="E1982" s="11">
        <v>3.3</v>
      </c>
      <c r="F1982" s="11">
        <v>-1.1000000000000001</v>
      </c>
      <c r="G1982" s="11" t="s">
        <v>6</v>
      </c>
      <c r="H1982" s="13">
        <v>-3300</v>
      </c>
      <c r="I1982" s="14">
        <f t="shared" si="71"/>
        <v>2.4E-2</v>
      </c>
      <c r="J1982" s="13">
        <f t="shared" si="72"/>
        <v>201512.4</v>
      </c>
    </row>
    <row r="1983" spans="1:10" x14ac:dyDescent="0.25">
      <c r="A1983" s="10">
        <v>41881</v>
      </c>
      <c r="B1983" s="11" t="s">
        <v>8</v>
      </c>
      <c r="C1983" s="11" t="s">
        <v>5</v>
      </c>
      <c r="D1983" s="16" t="str">
        <f>HYPERLINK("https://freddywills.com/pick/992/wisconsin-4.html", "Wisconsin +4")</f>
        <v>Wisconsin +4</v>
      </c>
      <c r="E1983" s="11">
        <v>2.2000000000000002</v>
      </c>
      <c r="F1983" s="11">
        <v>-1.1000000000000001</v>
      </c>
      <c r="G1983" s="11" t="s">
        <v>9</v>
      </c>
      <c r="H1983" s="13">
        <v>0</v>
      </c>
      <c r="I1983" s="14">
        <f t="shared" si="71"/>
        <v>5.7000000000000002E-2</v>
      </c>
      <c r="J1983" s="13">
        <f t="shared" si="72"/>
        <v>204812.4</v>
      </c>
    </row>
    <row r="1984" spans="1:10" x14ac:dyDescent="0.25">
      <c r="A1984" s="10">
        <v>41880</v>
      </c>
      <c r="B1984" s="11" t="s">
        <v>8</v>
      </c>
      <c r="C1984" s="11" t="s">
        <v>5</v>
      </c>
      <c r="D1984" s="16" t="str">
        <f>HYPERLINK("https://freddywills.com/pick/994/utsa-10-5.html", "UTSA +10.5")</f>
        <v>UTSA +10.5</v>
      </c>
      <c r="E1984" s="11">
        <v>4.4000000000000004</v>
      </c>
      <c r="F1984" s="11">
        <v>-1.1000000000000001</v>
      </c>
      <c r="G1984" s="11" t="s">
        <v>4</v>
      </c>
      <c r="H1984" s="13">
        <v>4000</v>
      </c>
      <c r="I1984" s="14">
        <f t="shared" si="71"/>
        <v>5.7000000000000002E-2</v>
      </c>
      <c r="J1984" s="13">
        <f t="shared" si="72"/>
        <v>204812.4</v>
      </c>
    </row>
    <row r="1985" spans="1:10" x14ac:dyDescent="0.25">
      <c r="A1985" s="10">
        <v>41879</v>
      </c>
      <c r="B1985" s="11" t="s">
        <v>8</v>
      </c>
      <c r="C1985" s="11" t="s">
        <v>5</v>
      </c>
      <c r="D1985" s="16" t="str">
        <f>HYPERLINK("https://freddywills.com/pick/995/boise-st-11.html", "Boise ST +11")</f>
        <v>Boise ST +11</v>
      </c>
      <c r="E1985" s="11">
        <v>3.3</v>
      </c>
      <c r="F1985" s="11">
        <v>-1.1000000000000001</v>
      </c>
      <c r="G1985" s="11" t="s">
        <v>6</v>
      </c>
      <c r="H1985" s="13">
        <v>-3300</v>
      </c>
      <c r="I1985" s="14">
        <f t="shared" si="71"/>
        <v>1.7000000000000001E-2</v>
      </c>
      <c r="J1985" s="13">
        <f t="shared" si="72"/>
        <v>200812.4</v>
      </c>
    </row>
    <row r="1986" spans="1:10" x14ac:dyDescent="0.25">
      <c r="A1986" s="10">
        <v>41879</v>
      </c>
      <c r="B1986" s="11" t="s">
        <v>8</v>
      </c>
      <c r="C1986" s="11" t="s">
        <v>5</v>
      </c>
      <c r="D1986" s="16" t="str">
        <f>HYPERLINK("https://freddywills.com/pick/996/texas-a-amp-m-10-5.html", "Texas A&amp;amp;M +10.5")</f>
        <v>Texas A&amp;amp;M +10.5</v>
      </c>
      <c r="E1986" s="11">
        <v>4.4000000000000004</v>
      </c>
      <c r="F1986" s="11">
        <v>-1.1000000000000001</v>
      </c>
      <c r="G1986" s="11" t="s">
        <v>4</v>
      </c>
      <c r="H1986" s="13">
        <v>4000</v>
      </c>
      <c r="I1986" s="14">
        <f t="shared" si="71"/>
        <v>0.05</v>
      </c>
      <c r="J1986" s="13">
        <f t="shared" si="72"/>
        <v>204112.4</v>
      </c>
    </row>
    <row r="1987" spans="1:10" x14ac:dyDescent="0.25">
      <c r="A1987" s="10">
        <v>41879</v>
      </c>
      <c r="B1987" s="11" t="s">
        <v>8</v>
      </c>
      <c r="C1987" s="11" t="s">
        <v>7</v>
      </c>
      <c r="D1987" s="16" t="str">
        <f>HYPERLINK("https://freddywills.com/pick/997/wake-lamonroe-u45-5.html", "WAKE/LAMonroe U45.5")</f>
        <v>WAKE/LAMonroe U45.5</v>
      </c>
      <c r="E1987" s="11">
        <v>1.1000000000000001</v>
      </c>
      <c r="F1987" s="11">
        <v>-1.1000000000000001</v>
      </c>
      <c r="G1987" s="11" t="s">
        <v>4</v>
      </c>
      <c r="H1987" s="13">
        <v>1000</v>
      </c>
      <c r="I1987" s="14">
        <f t="shared" si="71"/>
        <v>0.01</v>
      </c>
      <c r="J1987" s="13">
        <f t="shared" si="72"/>
        <v>200112.4</v>
      </c>
    </row>
    <row r="1988" spans="1:10" x14ac:dyDescent="0.25">
      <c r="A1988" s="10">
        <v>41874</v>
      </c>
      <c r="B1988" s="11" t="s">
        <v>2</v>
      </c>
      <c r="C1988" s="11" t="s">
        <v>5</v>
      </c>
      <c r="D1988" s="16" t="str">
        <f>HYPERLINK("https://freddywills.com/pick/1001/texans-7.html", "TExans +7")</f>
        <v>TExans +7</v>
      </c>
      <c r="E1988" s="11">
        <v>3.3</v>
      </c>
      <c r="F1988" s="11">
        <v>-1.1000000000000001</v>
      </c>
      <c r="G1988" s="11" t="s">
        <v>4</v>
      </c>
      <c r="H1988" s="13">
        <v>3000</v>
      </c>
      <c r="I1988" s="14">
        <f t="shared" ref="I1988:I1989" si="73">(H1988/100000)+I1989</f>
        <v>0</v>
      </c>
      <c r="J1988" s="13">
        <f t="shared" si="72"/>
        <v>199112.4</v>
      </c>
    </row>
    <row r="1989" spans="1:10" x14ac:dyDescent="0.25">
      <c r="A1989" s="10">
        <v>41860</v>
      </c>
      <c r="B1989" s="11" t="s">
        <v>2</v>
      </c>
      <c r="C1989" s="11" t="s">
        <v>18</v>
      </c>
      <c r="D1989" s="16" t="str">
        <f>HYPERLINK("https://freddywills.com/pick/1010/texans-105.html", "Texans +105")</f>
        <v>Texans +105</v>
      </c>
      <c r="E1989" s="11">
        <v>3</v>
      </c>
      <c r="F1989" s="11">
        <v>1.05</v>
      </c>
      <c r="G1989" s="11" t="s">
        <v>6</v>
      </c>
      <c r="H1989" s="13">
        <v>-3000</v>
      </c>
      <c r="I1989" s="14">
        <f>H1989/100000</f>
        <v>-0.03</v>
      </c>
      <c r="J1989" s="13">
        <f>H1989+J1992</f>
        <v>196112.4</v>
      </c>
    </row>
    <row r="1990" spans="1:10" x14ac:dyDescent="0.25">
      <c r="A1990" s="17" t="s">
        <v>22</v>
      </c>
      <c r="B1990" s="18"/>
      <c r="C1990" s="18"/>
      <c r="D1990" s="18"/>
      <c r="E1990" s="18"/>
      <c r="F1990" s="18"/>
      <c r="G1990" s="18"/>
      <c r="H1990" s="18"/>
      <c r="I1990" s="19">
        <v>100000</v>
      </c>
      <c r="J1990" s="17"/>
    </row>
    <row r="1991" spans="1:10" x14ac:dyDescent="0.25">
      <c r="A1991" s="8" t="s">
        <v>20</v>
      </c>
      <c r="B1991" s="9"/>
      <c r="C1991" s="9"/>
      <c r="D1991" s="9"/>
      <c r="E1991" s="9"/>
      <c r="F1991" s="9"/>
      <c r="G1991" s="9"/>
      <c r="H1991" s="9"/>
      <c r="I1991" s="9"/>
      <c r="J1991" s="9"/>
    </row>
    <row r="1992" spans="1:10" x14ac:dyDescent="0.25">
      <c r="A1992" s="10">
        <v>41672</v>
      </c>
      <c r="B1992" s="11" t="s">
        <v>2</v>
      </c>
      <c r="C1992" s="11" t="s">
        <v>5</v>
      </c>
      <c r="D1992" s="16" t="str">
        <f>HYPERLINK("https://freddywills.com/pick/1281/broncos-2.html", "Broncos -2")</f>
        <v>Broncos -2</v>
      </c>
      <c r="E1992" s="11">
        <v>5.5</v>
      </c>
      <c r="F1992" s="11">
        <v>-1.1000000000000001</v>
      </c>
      <c r="G1992" s="11" t="s">
        <v>6</v>
      </c>
      <c r="H1992" s="13">
        <v>-5500</v>
      </c>
      <c r="I1992" s="14">
        <f t="shared" ref="I1992:I2055" si="74">(H1992/100000)+I1993</f>
        <v>-5.6459499999999711E-2</v>
      </c>
      <c r="J1992" s="13">
        <f t="shared" si="72"/>
        <v>199112.4</v>
      </c>
    </row>
    <row r="1993" spans="1:10" x14ac:dyDescent="0.25">
      <c r="A1993" s="10">
        <v>41672</v>
      </c>
      <c r="B1993" s="11" t="s">
        <v>2</v>
      </c>
      <c r="C1993" s="11" t="s">
        <v>3</v>
      </c>
      <c r="D1993" s="16" t="str">
        <f>HYPERLINK("https://freddywills.com/pick/1282/5-play-prop-package.html", "5 Play Prop Package")</f>
        <v>5 Play Prop Package</v>
      </c>
      <c r="E1993" s="11">
        <v>6.5</v>
      </c>
      <c r="F1993" s="11">
        <v>-1.1000000000000001</v>
      </c>
      <c r="G1993" s="11" t="s">
        <v>6</v>
      </c>
      <c r="H1993" s="13">
        <v>-480</v>
      </c>
      <c r="I1993" s="14">
        <f t="shared" si="74"/>
        <v>-1.4594999999997119E-3</v>
      </c>
      <c r="J1993" s="13">
        <f t="shared" si="72"/>
        <v>204612.4</v>
      </c>
    </row>
    <row r="1994" spans="1:10" x14ac:dyDescent="0.25">
      <c r="A1994" s="10">
        <v>41672</v>
      </c>
      <c r="B1994" s="11" t="s">
        <v>2</v>
      </c>
      <c r="C1994" s="11" t="s">
        <v>3</v>
      </c>
      <c r="D1994" s="16" t="str">
        <f>HYPERLINK("https://freddywills.com/pick/1283/rushing-props.html", "Rushing Props")</f>
        <v>Rushing Props</v>
      </c>
      <c r="E1994" s="11">
        <v>4</v>
      </c>
      <c r="F1994" s="11">
        <v>-1.1000000000000001</v>
      </c>
      <c r="G1994" s="11" t="s">
        <v>6</v>
      </c>
      <c r="H1994" s="13">
        <v>-4000</v>
      </c>
      <c r="I1994" s="14">
        <f t="shared" si="74"/>
        <v>3.3405000000002877E-3</v>
      </c>
      <c r="J1994" s="13">
        <f t="shared" si="72"/>
        <v>205092.4</v>
      </c>
    </row>
    <row r="1995" spans="1:10" x14ac:dyDescent="0.25">
      <c r="A1995" s="10">
        <v>41658</v>
      </c>
      <c r="B1995" s="11" t="s">
        <v>2</v>
      </c>
      <c r="C1995" s="11" t="s">
        <v>5</v>
      </c>
      <c r="D1995" s="16" t="str">
        <f>HYPERLINK("https://freddywills.com/pick/1321/patriots-5-5.html", "Patriots +5.5")</f>
        <v>Patriots +5.5</v>
      </c>
      <c r="E1995" s="11">
        <v>5.5</v>
      </c>
      <c r="F1995" s="11">
        <v>-1.1000000000000001</v>
      </c>
      <c r="G1995" s="11" t="s">
        <v>6</v>
      </c>
      <c r="H1995" s="13">
        <v>-5500</v>
      </c>
      <c r="I1995" s="14">
        <f t="shared" si="74"/>
        <v>4.3340500000000289E-2</v>
      </c>
      <c r="J1995" s="13">
        <f t="shared" si="72"/>
        <v>209092.4</v>
      </c>
    </row>
    <row r="1996" spans="1:10" x14ac:dyDescent="0.25">
      <c r="A1996" s="10">
        <v>41658</v>
      </c>
      <c r="B1996" s="11" t="s">
        <v>2</v>
      </c>
      <c r="C1996" s="11" t="s">
        <v>5</v>
      </c>
      <c r="D1996" s="16" t="str">
        <f>HYPERLINK("https://freddywills.com/pick/1322/49ers-3-5.html", "49ers +3.5")</f>
        <v>49ers +3.5</v>
      </c>
      <c r="E1996" s="11">
        <v>1.1000000000000001</v>
      </c>
      <c r="F1996" s="11">
        <v>-1.1000000000000001</v>
      </c>
      <c r="G1996" s="11" t="s">
        <v>6</v>
      </c>
      <c r="H1996" s="13">
        <v>-1100</v>
      </c>
      <c r="I1996" s="14">
        <f t="shared" si="74"/>
        <v>9.8340500000000289E-2</v>
      </c>
      <c r="J1996" s="13">
        <f t="shared" si="72"/>
        <v>214592.4</v>
      </c>
    </row>
    <row r="1997" spans="1:10" x14ac:dyDescent="0.25">
      <c r="A1997" s="10">
        <v>41658</v>
      </c>
      <c r="B1997" s="11" t="s">
        <v>2</v>
      </c>
      <c r="C1997" s="11" t="s">
        <v>7</v>
      </c>
      <c r="D1997" s="16" t="str">
        <f>HYPERLINK("https://freddywills.com/pick/1323/49ers-seahawks-u39-5.html", "49ers/Seahawks U39.5")</f>
        <v>49ers/Seahawks U39.5</v>
      </c>
      <c r="E1997" s="11">
        <v>3.3</v>
      </c>
      <c r="F1997" s="11">
        <v>-1.1000000000000001</v>
      </c>
      <c r="G1997" s="11" t="s">
        <v>6</v>
      </c>
      <c r="H1997" s="13">
        <v>-3300</v>
      </c>
      <c r="I1997" s="14">
        <f t="shared" si="74"/>
        <v>0.10934050000000028</v>
      </c>
      <c r="J1997" s="13">
        <f t="shared" si="72"/>
        <v>215692.4</v>
      </c>
    </row>
    <row r="1998" spans="1:10" x14ac:dyDescent="0.25">
      <c r="A1998" s="10">
        <v>41651</v>
      </c>
      <c r="B1998" s="11" t="s">
        <v>2</v>
      </c>
      <c r="C1998" s="11" t="s">
        <v>18</v>
      </c>
      <c r="D1998" s="16" t="str">
        <f>HYPERLINK("https://freddywills.com/pick/1340/49ers-100.html", "49ers +100")</f>
        <v>49ers +100</v>
      </c>
      <c r="E1998" s="11">
        <v>2.5</v>
      </c>
      <c r="F1998" s="11">
        <v>1</v>
      </c>
      <c r="G1998" s="11" t="s">
        <v>4</v>
      </c>
      <c r="H1998" s="13">
        <v>2500</v>
      </c>
      <c r="I1998" s="14">
        <f t="shared" si="74"/>
        <v>0.14234050000000029</v>
      </c>
      <c r="J1998" s="13">
        <f t="shared" si="72"/>
        <v>218992.4</v>
      </c>
    </row>
    <row r="1999" spans="1:10" x14ac:dyDescent="0.25">
      <c r="A1999" s="10">
        <v>41651</v>
      </c>
      <c r="B1999" s="11" t="s">
        <v>2</v>
      </c>
      <c r="C1999" s="11" t="s">
        <v>5</v>
      </c>
      <c r="D1999" s="16" t="str">
        <f>HYPERLINK("https://freddywills.com/pick/1341/chargers-8.html", "Chargers +8")</f>
        <v>Chargers +8</v>
      </c>
      <c r="E1999" s="11">
        <v>4.4000000000000004</v>
      </c>
      <c r="F1999" s="11">
        <v>-1.1000000000000001</v>
      </c>
      <c r="G1999" s="11" t="s">
        <v>4</v>
      </c>
      <c r="H1999" s="13">
        <v>4000</v>
      </c>
      <c r="I1999" s="14">
        <f t="shared" si="74"/>
        <v>0.11734050000000029</v>
      </c>
      <c r="J1999" s="13">
        <f t="shared" si="72"/>
        <v>216492.4</v>
      </c>
    </row>
    <row r="2000" spans="1:10" x14ac:dyDescent="0.25">
      <c r="A2000" s="10">
        <v>41650</v>
      </c>
      <c r="B2000" s="11" t="s">
        <v>2</v>
      </c>
      <c r="C2000" s="11" t="s">
        <v>5</v>
      </c>
      <c r="D2000" s="16" t="str">
        <f>HYPERLINK("https://freddywills.com/pick/1343/saints-10.html", "Saints +10")</f>
        <v>Saints +10</v>
      </c>
      <c r="E2000" s="11">
        <v>4.4000000000000004</v>
      </c>
      <c r="F2000" s="11">
        <v>-1.1000000000000001</v>
      </c>
      <c r="G2000" s="11" t="s">
        <v>4</v>
      </c>
      <c r="H2000" s="13">
        <v>4000</v>
      </c>
      <c r="I2000" s="14">
        <f t="shared" si="74"/>
        <v>7.7340500000000298E-2</v>
      </c>
      <c r="J2000" s="13">
        <f t="shared" si="72"/>
        <v>212492.4</v>
      </c>
    </row>
    <row r="2001" spans="1:10" x14ac:dyDescent="0.25">
      <c r="A2001" s="10">
        <v>41650</v>
      </c>
      <c r="B2001" s="11" t="s">
        <v>2</v>
      </c>
      <c r="C2001" s="11" t="s">
        <v>5</v>
      </c>
      <c r="D2001" s="16" t="str">
        <f>HYPERLINK("https://freddywills.com/pick/1344/patriots-6-5-125.html", "Patriots -6.5 -125")</f>
        <v>Patriots -6.5 -125</v>
      </c>
      <c r="E2001" s="11">
        <v>2</v>
      </c>
      <c r="F2001" s="11">
        <v>-1.25</v>
      </c>
      <c r="G2001" s="11" t="s">
        <v>4</v>
      </c>
      <c r="H2001" s="13">
        <v>1600</v>
      </c>
      <c r="I2001" s="14">
        <f t="shared" si="74"/>
        <v>3.7340500000000297E-2</v>
      </c>
      <c r="J2001" s="13">
        <f t="shared" si="72"/>
        <v>208492.4</v>
      </c>
    </row>
    <row r="2002" spans="1:10" x14ac:dyDescent="0.25">
      <c r="A2002" s="10">
        <v>41645</v>
      </c>
      <c r="B2002" s="11" t="s">
        <v>8</v>
      </c>
      <c r="C2002" s="11" t="s">
        <v>5</v>
      </c>
      <c r="D2002" s="16" t="str">
        <f>HYPERLINK("https://freddywills.com/pick/1353/auburn-10-5.html", "Auburn +10.5")</f>
        <v>Auburn +10.5</v>
      </c>
      <c r="E2002" s="11">
        <v>5.5</v>
      </c>
      <c r="F2002" s="11">
        <v>-1.1000000000000001</v>
      </c>
      <c r="G2002" s="11" t="s">
        <v>4</v>
      </c>
      <c r="H2002" s="13">
        <v>5000</v>
      </c>
      <c r="I2002" s="14">
        <f t="shared" si="74"/>
        <v>2.1340500000000297E-2</v>
      </c>
      <c r="J2002" s="13">
        <f t="shared" si="72"/>
        <v>206892.4</v>
      </c>
    </row>
    <row r="2003" spans="1:10" x14ac:dyDescent="0.25">
      <c r="A2003" s="10">
        <v>41644</v>
      </c>
      <c r="B2003" s="11" t="s">
        <v>8</v>
      </c>
      <c r="C2003" s="11" t="s">
        <v>5</v>
      </c>
      <c r="D2003" s="16" t="str">
        <f>HYPERLINK("https://freddywills.com/pick/1354/ark-state-7.html", "Ark State +7")</f>
        <v>Ark State +7</v>
      </c>
      <c r="E2003" s="11">
        <v>2.75</v>
      </c>
      <c r="F2003" s="11">
        <v>-1.1000000000000001</v>
      </c>
      <c r="G2003" s="11" t="s">
        <v>4</v>
      </c>
      <c r="H2003" s="13">
        <v>2500</v>
      </c>
      <c r="I2003" s="14">
        <f t="shared" si="74"/>
        <v>-2.8659499999999706E-2</v>
      </c>
      <c r="J2003" s="13">
        <f t="shared" si="72"/>
        <v>201892.4</v>
      </c>
    </row>
    <row r="2004" spans="1:10" x14ac:dyDescent="0.25">
      <c r="A2004" s="10">
        <v>41643</v>
      </c>
      <c r="B2004" s="11" t="s">
        <v>2</v>
      </c>
      <c r="C2004" s="11" t="s">
        <v>5</v>
      </c>
      <c r="D2004" s="16" t="str">
        <f>HYPERLINK("https://freddywills.com/pick/1355/chiefs-1-5.html", "Chiefs -1.5")</f>
        <v>Chiefs -1.5</v>
      </c>
      <c r="E2004" s="11">
        <v>4.4000000000000004</v>
      </c>
      <c r="F2004" s="11">
        <v>-1.1000000000000001</v>
      </c>
      <c r="G2004" s="11" t="s">
        <v>6</v>
      </c>
      <c r="H2004" s="13">
        <v>-4400</v>
      </c>
      <c r="I2004" s="14">
        <f t="shared" si="74"/>
        <v>-5.3659499999999707E-2</v>
      </c>
      <c r="J2004" s="13">
        <f t="shared" si="72"/>
        <v>199392.4</v>
      </c>
    </row>
    <row r="2005" spans="1:10" x14ac:dyDescent="0.25">
      <c r="A2005" s="10">
        <v>41643</v>
      </c>
      <c r="B2005" s="11" t="s">
        <v>2</v>
      </c>
      <c r="C2005" s="11" t="s">
        <v>7</v>
      </c>
      <c r="D2005" s="16" t="str">
        <f>HYPERLINK("https://freddywills.com/pick/1356/chiefs-colts-u47.html", "Chiefs/Colts U47")</f>
        <v>Chiefs/Colts U47</v>
      </c>
      <c r="E2005" s="11">
        <v>2.2000000000000002</v>
      </c>
      <c r="F2005" s="11">
        <v>-1.1000000000000001</v>
      </c>
      <c r="G2005" s="11" t="s">
        <v>6</v>
      </c>
      <c r="H2005" s="13">
        <v>-2200</v>
      </c>
      <c r="I2005" s="14">
        <f t="shared" si="74"/>
        <v>-9.65949999999971E-3</v>
      </c>
      <c r="J2005" s="13">
        <f t="shared" si="72"/>
        <v>203792.4</v>
      </c>
    </row>
    <row r="2006" spans="1:10" x14ac:dyDescent="0.25">
      <c r="A2006" s="10">
        <v>41643</v>
      </c>
      <c r="B2006" s="11" t="s">
        <v>2</v>
      </c>
      <c r="C2006" s="11" t="s">
        <v>18</v>
      </c>
      <c r="D2006" s="16" t="str">
        <f>HYPERLINK("https://freddywills.com/pick/1357/saints-145.html", "Saints +145")</f>
        <v>Saints +145</v>
      </c>
      <c r="E2006" s="11">
        <v>3</v>
      </c>
      <c r="F2006" s="11">
        <v>1.45</v>
      </c>
      <c r="G2006" s="11" t="s">
        <v>4</v>
      </c>
      <c r="H2006" s="13">
        <v>4350</v>
      </c>
      <c r="I2006" s="14">
        <f t="shared" si="74"/>
        <v>1.2340500000000289E-2</v>
      </c>
      <c r="J2006" s="13">
        <f t="shared" si="72"/>
        <v>205992.4</v>
      </c>
    </row>
    <row r="2007" spans="1:10" x14ac:dyDescent="0.25">
      <c r="A2007" s="10">
        <v>41642</v>
      </c>
      <c r="B2007" s="11" t="s">
        <v>8</v>
      </c>
      <c r="C2007" s="11" t="s">
        <v>5</v>
      </c>
      <c r="D2007" s="16" t="str">
        <f>HYPERLINK("https://freddywills.com/pick/1360/oklahoma-st-1.html", "Oklahoma St -1")</f>
        <v>Oklahoma St -1</v>
      </c>
      <c r="E2007" s="11">
        <v>4.4000000000000004</v>
      </c>
      <c r="F2007" s="11">
        <v>-1.1000000000000001</v>
      </c>
      <c r="G2007" s="11" t="s">
        <v>6</v>
      </c>
      <c r="H2007" s="13">
        <v>-4400</v>
      </c>
      <c r="I2007" s="14">
        <f t="shared" si="74"/>
        <v>-3.1159499999999708E-2</v>
      </c>
      <c r="J2007" s="13">
        <f t="shared" si="72"/>
        <v>201642.4</v>
      </c>
    </row>
    <row r="2008" spans="1:10" x14ac:dyDescent="0.25">
      <c r="A2008" s="10">
        <v>41642</v>
      </c>
      <c r="B2008" s="11" t="s">
        <v>8</v>
      </c>
      <c r="C2008" s="11" t="s">
        <v>5</v>
      </c>
      <c r="D2008" s="16" t="str">
        <f>HYPERLINK("https://freddywills.com/pick/1361/ohio-st-2-5.html", "Ohio St -2.5")</f>
        <v>Ohio St -2.5</v>
      </c>
      <c r="E2008" s="11">
        <v>5.5</v>
      </c>
      <c r="F2008" s="11">
        <v>-1.1000000000000001</v>
      </c>
      <c r="G2008" s="11" t="s">
        <v>6</v>
      </c>
      <c r="H2008" s="13">
        <v>-5500</v>
      </c>
      <c r="I2008" s="14">
        <f t="shared" si="74"/>
        <v>1.2840500000000289E-2</v>
      </c>
      <c r="J2008" s="13">
        <f t="shared" si="72"/>
        <v>206042.4</v>
      </c>
    </row>
    <row r="2009" spans="1:10" x14ac:dyDescent="0.25">
      <c r="A2009" s="10">
        <v>41642</v>
      </c>
      <c r="B2009" s="11" t="s">
        <v>8</v>
      </c>
      <c r="C2009" s="11" t="s">
        <v>5</v>
      </c>
      <c r="D2009" s="16" t="str">
        <f>HYPERLINK("https://freddywills.com/pick/1362/houston-3.html", "Houston +3")</f>
        <v>Houston +3</v>
      </c>
      <c r="E2009" s="11">
        <v>4.4000000000000004</v>
      </c>
      <c r="F2009" s="11">
        <v>-1.1000000000000001</v>
      </c>
      <c r="G2009" s="11" t="s">
        <v>6</v>
      </c>
      <c r="H2009" s="13">
        <v>-4400</v>
      </c>
      <c r="I2009" s="14">
        <f t="shared" si="74"/>
        <v>6.7840500000000289E-2</v>
      </c>
      <c r="J2009" s="13">
        <f t="shared" si="72"/>
        <v>211542.39999999999</v>
      </c>
    </row>
    <row r="2010" spans="1:10" x14ac:dyDescent="0.25">
      <c r="A2010" s="10">
        <v>41642</v>
      </c>
      <c r="B2010" s="11" t="s">
        <v>8</v>
      </c>
      <c r="C2010" s="11" t="s">
        <v>7</v>
      </c>
      <c r="D2010" s="16" t="str">
        <f>HYPERLINK("https://freddywills.com/pick/1363/hou-vandy-u52-5.html", "Hou/Vandy U52.5")</f>
        <v>Hou/Vandy U52.5</v>
      </c>
      <c r="E2010" s="11">
        <v>3.3</v>
      </c>
      <c r="F2010" s="11">
        <v>-1.1000000000000001</v>
      </c>
      <c r="G2010" s="11" t="s">
        <v>6</v>
      </c>
      <c r="H2010" s="13">
        <v>-3300</v>
      </c>
      <c r="I2010" s="14">
        <f t="shared" si="74"/>
        <v>0.11184050000000029</v>
      </c>
      <c r="J2010" s="13">
        <f t="shared" si="72"/>
        <v>215942.39999999999</v>
      </c>
    </row>
    <row r="2011" spans="1:10" x14ac:dyDescent="0.25">
      <c r="A2011" s="10">
        <v>41641</v>
      </c>
      <c r="B2011" s="11" t="s">
        <v>8</v>
      </c>
      <c r="C2011" s="11" t="s">
        <v>5</v>
      </c>
      <c r="D2011" s="16" t="str">
        <f>HYPERLINK("https://freddywills.com/pick/1364/oklahoma-17.html", "Oklahoma +17")</f>
        <v>Oklahoma +17</v>
      </c>
      <c r="E2011" s="11">
        <v>2.2000000000000002</v>
      </c>
      <c r="F2011" s="11">
        <v>-1.1000000000000001</v>
      </c>
      <c r="G2011" s="11" t="s">
        <v>4</v>
      </c>
      <c r="H2011" s="13">
        <v>2000</v>
      </c>
      <c r="I2011" s="14">
        <f t="shared" si="74"/>
        <v>0.14484050000000029</v>
      </c>
      <c r="J2011" s="13">
        <f t="shared" si="72"/>
        <v>219242.4</v>
      </c>
    </row>
    <row r="2012" spans="1:10" x14ac:dyDescent="0.25">
      <c r="A2012" s="10">
        <v>41641</v>
      </c>
      <c r="B2012" s="11" t="s">
        <v>8</v>
      </c>
      <c r="C2012" s="11" t="s">
        <v>5</v>
      </c>
      <c r="D2012" s="16" t="str">
        <f>HYPERLINK("https://freddywills.com/pick/1365/okl-alab-u53.html", "Okl/Alab U53")</f>
        <v>Okl/Alab U53</v>
      </c>
      <c r="E2012" s="11">
        <v>4.4000000000000004</v>
      </c>
      <c r="F2012" s="11">
        <v>-1.1000000000000001</v>
      </c>
      <c r="G2012" s="11" t="s">
        <v>6</v>
      </c>
      <c r="H2012" s="13">
        <v>-4400</v>
      </c>
      <c r="I2012" s="14">
        <f t="shared" si="74"/>
        <v>0.12484050000000028</v>
      </c>
      <c r="J2012" s="13">
        <f t="shared" si="72"/>
        <v>217242.4</v>
      </c>
    </row>
    <row r="2013" spans="1:10" x14ac:dyDescent="0.25">
      <c r="A2013" s="10">
        <v>41640</v>
      </c>
      <c r="B2013" s="11" t="s">
        <v>8</v>
      </c>
      <c r="C2013" s="11" t="s">
        <v>5</v>
      </c>
      <c r="D2013" s="16" t="str">
        <f>HYPERLINK("https://freddywills.com/pick/1366/ole-miss-3-103.html", "Ole Miss -3 -103")</f>
        <v>Ole Miss -3 -103</v>
      </c>
      <c r="E2013" s="11">
        <v>5.5</v>
      </c>
      <c r="F2013" s="11">
        <v>-1.03</v>
      </c>
      <c r="G2013" s="11" t="s">
        <v>4</v>
      </c>
      <c r="H2013" s="13">
        <v>5339.81</v>
      </c>
      <c r="I2013" s="14">
        <f t="shared" si="74"/>
        <v>0.16884050000000028</v>
      </c>
      <c r="J2013" s="13">
        <f t="shared" si="72"/>
        <v>221642.4</v>
      </c>
    </row>
    <row r="2014" spans="1:10" x14ac:dyDescent="0.25">
      <c r="A2014" s="10">
        <v>41640</v>
      </c>
      <c r="B2014" s="11" t="s">
        <v>8</v>
      </c>
      <c r="C2014" s="11" t="s">
        <v>5</v>
      </c>
      <c r="D2014" s="16" t="str">
        <f>HYPERLINK("https://freddywills.com/pick/1367/texas-14-5.html", "Texas +14.5")</f>
        <v>Texas +14.5</v>
      </c>
      <c r="E2014" s="11">
        <v>1.1000000000000001</v>
      </c>
      <c r="F2014" s="11">
        <v>-1.1000000000000001</v>
      </c>
      <c r="G2014" s="11" t="s">
        <v>6</v>
      </c>
      <c r="H2014" s="13">
        <v>-1100</v>
      </c>
      <c r="I2014" s="14">
        <f t="shared" si="74"/>
        <v>0.11544240000000026</v>
      </c>
      <c r="J2014" s="13">
        <f t="shared" si="72"/>
        <v>216302.59</v>
      </c>
    </row>
    <row r="2015" spans="1:10" x14ac:dyDescent="0.25">
      <c r="A2015" s="10">
        <v>41640</v>
      </c>
      <c r="B2015" s="11" t="s">
        <v>8</v>
      </c>
      <c r="C2015" s="11" t="s">
        <v>5</v>
      </c>
      <c r="D2015" s="16" t="str">
        <f>HYPERLINK("https://freddywills.com/pick/1368/arizona-st-16.html", "Arizona St -16")</f>
        <v>Arizona St -16</v>
      </c>
      <c r="E2015" s="11">
        <v>2.2000000000000002</v>
      </c>
      <c r="F2015" s="11">
        <v>-1.1000000000000001</v>
      </c>
      <c r="G2015" s="11" t="s">
        <v>6</v>
      </c>
      <c r="H2015" s="13">
        <v>-2200</v>
      </c>
      <c r="I2015" s="14">
        <f t="shared" si="74"/>
        <v>0.12644240000000026</v>
      </c>
      <c r="J2015" s="13">
        <f t="shared" si="72"/>
        <v>217402.59</v>
      </c>
    </row>
    <row r="2016" spans="1:10" x14ac:dyDescent="0.25">
      <c r="A2016" s="10">
        <v>41640</v>
      </c>
      <c r="B2016" s="11" t="s">
        <v>8</v>
      </c>
      <c r="C2016" s="11" t="s">
        <v>5</v>
      </c>
      <c r="D2016" s="16" t="str">
        <f>HYPERLINK("https://freddywills.com/pick/1369/bc-7-5.html", "BC +7.5")</f>
        <v>BC +7.5</v>
      </c>
      <c r="E2016" s="11">
        <v>4.4000000000000004</v>
      </c>
      <c r="F2016" s="11">
        <v>-1.1000000000000001</v>
      </c>
      <c r="G2016" s="11" t="s">
        <v>6</v>
      </c>
      <c r="H2016" s="13">
        <v>-4400</v>
      </c>
      <c r="I2016" s="14">
        <f t="shared" si="74"/>
        <v>0.14844240000000025</v>
      </c>
      <c r="J2016" s="13">
        <f t="shared" si="72"/>
        <v>219602.59</v>
      </c>
    </row>
    <row r="2017" spans="1:10" x14ac:dyDescent="0.25">
      <c r="A2017" s="10">
        <v>41640</v>
      </c>
      <c r="B2017" s="11" t="s">
        <v>8</v>
      </c>
      <c r="C2017" s="11" t="s">
        <v>5</v>
      </c>
      <c r="D2017" s="16" t="str">
        <f>HYPERLINK("https://freddywills.com/pick/1370/va-tech-7-5.html", "VA Tech +7.5")</f>
        <v>VA Tech +7.5</v>
      </c>
      <c r="E2017" s="11">
        <v>1.1000000000000001</v>
      </c>
      <c r="F2017" s="11">
        <v>-1.1000000000000001</v>
      </c>
      <c r="G2017" s="11" t="s">
        <v>6</v>
      </c>
      <c r="H2017" s="13">
        <v>-1100</v>
      </c>
      <c r="I2017" s="14">
        <f t="shared" si="74"/>
        <v>0.19244240000000024</v>
      </c>
      <c r="J2017" s="13">
        <f t="shared" si="72"/>
        <v>224002.59</v>
      </c>
    </row>
    <row r="2018" spans="1:10" x14ac:dyDescent="0.25">
      <c r="A2018" s="10">
        <v>41640</v>
      </c>
      <c r="B2018" s="11" t="s">
        <v>8</v>
      </c>
      <c r="C2018" s="11" t="s">
        <v>5</v>
      </c>
      <c r="D2018" s="16" t="str">
        <f>HYPERLINK("https://freddywills.com/pick/1371/miss-st-6-5-120.html", "Miss St -6.5 -120")</f>
        <v>Miss St -6.5 -120</v>
      </c>
      <c r="E2018" s="11">
        <v>4</v>
      </c>
      <c r="F2018" s="11">
        <v>-1.2</v>
      </c>
      <c r="G2018" s="11" t="s">
        <v>4</v>
      </c>
      <c r="H2018" s="13">
        <v>3333.33</v>
      </c>
      <c r="I2018" s="14">
        <f t="shared" si="74"/>
        <v>0.20344240000000025</v>
      </c>
      <c r="J2018" s="13">
        <f t="shared" si="72"/>
        <v>225102.59</v>
      </c>
    </row>
    <row r="2019" spans="1:10" x14ac:dyDescent="0.25">
      <c r="A2019" s="10">
        <v>41640</v>
      </c>
      <c r="B2019" s="11" t="s">
        <v>8</v>
      </c>
      <c r="C2019" s="11" t="s">
        <v>5</v>
      </c>
      <c r="D2019" s="16" t="str">
        <f>HYPERLINK("https://freddywills.com/pick/1372/wisconsin-1-5.html", "Wisconsin -1.5")</f>
        <v>Wisconsin -1.5</v>
      </c>
      <c r="E2019" s="11">
        <v>3.3</v>
      </c>
      <c r="F2019" s="11">
        <v>-1.1000000000000001</v>
      </c>
      <c r="G2019" s="11" t="s">
        <v>6</v>
      </c>
      <c r="H2019" s="13">
        <v>-3300</v>
      </c>
      <c r="I2019" s="14">
        <f t="shared" si="74"/>
        <v>0.17010910000000026</v>
      </c>
      <c r="J2019" s="13">
        <f t="shared" si="72"/>
        <v>221769.26</v>
      </c>
    </row>
    <row r="2020" spans="1:10" x14ac:dyDescent="0.25">
      <c r="A2020" s="10">
        <v>41640</v>
      </c>
      <c r="B2020" s="11" t="s">
        <v>8</v>
      </c>
      <c r="C2020" s="11" t="s">
        <v>5</v>
      </c>
      <c r="D2020" s="16" t="str">
        <f>HYPERLINK("https://freddywills.com/pick/1373/mich-st-6-5-100.html", "Mich St +6.5 +100")</f>
        <v>Mich St +6.5 +100</v>
      </c>
      <c r="E2020" s="11">
        <v>3</v>
      </c>
      <c r="F2020" s="11">
        <v>1</v>
      </c>
      <c r="G2020" s="11" t="s">
        <v>4</v>
      </c>
      <c r="H2020" s="13">
        <v>3000</v>
      </c>
      <c r="I2020" s="14">
        <f t="shared" si="74"/>
        <v>0.20310910000000026</v>
      </c>
      <c r="J2020" s="13">
        <f t="shared" si="72"/>
        <v>225069.26</v>
      </c>
    </row>
    <row r="2021" spans="1:10" x14ac:dyDescent="0.25">
      <c r="A2021" s="10">
        <v>41640</v>
      </c>
      <c r="B2021" s="11" t="s">
        <v>8</v>
      </c>
      <c r="C2021" s="11" t="s">
        <v>5</v>
      </c>
      <c r="D2021" s="16" t="str">
        <f>HYPERLINK("https://freddywills.com/pick/1374/nebraska-9.html", "Nebraska +9")</f>
        <v>Nebraska +9</v>
      </c>
      <c r="E2021" s="11">
        <v>3.3</v>
      </c>
      <c r="F2021" s="11">
        <v>-1.1000000000000001</v>
      </c>
      <c r="G2021" s="11" t="s">
        <v>4</v>
      </c>
      <c r="H2021" s="13">
        <v>3000</v>
      </c>
      <c r="I2021" s="14">
        <f t="shared" si="74"/>
        <v>0.17310910000000027</v>
      </c>
      <c r="J2021" s="13">
        <f t="shared" si="72"/>
        <v>222069.26</v>
      </c>
    </row>
    <row r="2022" spans="1:10" x14ac:dyDescent="0.25">
      <c r="A2022" s="10">
        <v>41640</v>
      </c>
      <c r="B2022" s="11" t="s">
        <v>8</v>
      </c>
      <c r="C2022" s="11" t="s">
        <v>5</v>
      </c>
      <c r="D2022" s="16" t="str">
        <f>HYPERLINK("https://freddywills.com/pick/1375/lsu-6-5-120.html", "LSU -6.5 -120")</f>
        <v>LSU -6.5 -120</v>
      </c>
      <c r="E2022" s="11">
        <v>5.5</v>
      </c>
      <c r="F2022" s="11">
        <v>-1.1000000000000001</v>
      </c>
      <c r="G2022" s="11" t="s">
        <v>4</v>
      </c>
      <c r="H2022" s="13">
        <v>5000</v>
      </c>
      <c r="I2022" s="14">
        <f t="shared" si="74"/>
        <v>0.14310910000000027</v>
      </c>
      <c r="J2022" s="13">
        <f t="shared" si="72"/>
        <v>219069.26</v>
      </c>
    </row>
    <row r="2023" spans="1:10" x14ac:dyDescent="0.25">
      <c r="A2023" s="10">
        <v>41637</v>
      </c>
      <c r="B2023" s="11" t="s">
        <v>2</v>
      </c>
      <c r="C2023" s="11" t="s">
        <v>5</v>
      </c>
      <c r="D2023" s="16" t="str">
        <f>HYPERLINK("https://freddywills.com/pick/1376/lions-1.html", "Lions +1")</f>
        <v>Lions +1</v>
      </c>
      <c r="E2023" s="11">
        <v>2.2000000000000002</v>
      </c>
      <c r="F2023" s="11">
        <v>-1.1000000000000001</v>
      </c>
      <c r="G2023" s="11" t="s">
        <v>9</v>
      </c>
      <c r="H2023" s="13">
        <v>0</v>
      </c>
      <c r="I2023" s="14">
        <f t="shared" si="74"/>
        <v>9.3109100000000278E-2</v>
      </c>
      <c r="J2023" s="13">
        <f t="shared" si="72"/>
        <v>214069.26</v>
      </c>
    </row>
    <row r="2024" spans="1:10" x14ac:dyDescent="0.25">
      <c r="A2024" s="10">
        <v>41637</v>
      </c>
      <c r="B2024" s="11" t="s">
        <v>2</v>
      </c>
      <c r="C2024" s="11" t="s">
        <v>5</v>
      </c>
      <c r="D2024" s="16" t="str">
        <f>HYPERLINK("https://freddywills.com/pick/1377/falcons-6-5.html", "Falcons +6.5")</f>
        <v>Falcons +6.5</v>
      </c>
      <c r="E2024" s="11">
        <v>3.3</v>
      </c>
      <c r="F2024" s="11">
        <v>-1.1000000000000001</v>
      </c>
      <c r="G2024" s="11" t="s">
        <v>4</v>
      </c>
      <c r="H2024" s="13">
        <v>3000</v>
      </c>
      <c r="I2024" s="14">
        <f t="shared" si="74"/>
        <v>9.3109100000000278E-2</v>
      </c>
      <c r="J2024" s="13">
        <f t="shared" si="72"/>
        <v>214069.26</v>
      </c>
    </row>
    <row r="2025" spans="1:10" x14ac:dyDescent="0.25">
      <c r="A2025" s="10">
        <v>41637</v>
      </c>
      <c r="B2025" s="11" t="s">
        <v>2</v>
      </c>
      <c r="C2025" s="11" t="s">
        <v>5</v>
      </c>
      <c r="D2025" s="16" t="str">
        <f>HYPERLINK("https://freddywills.com/pick/1378/jaguars-10-5.html", "Jaguars +10.5")</f>
        <v>Jaguars +10.5</v>
      </c>
      <c r="E2025" s="11">
        <v>2.2000000000000002</v>
      </c>
      <c r="F2025" s="11">
        <v>-1.1000000000000001</v>
      </c>
      <c r="G2025" s="11" t="s">
        <v>6</v>
      </c>
      <c r="H2025" s="13">
        <v>-2200</v>
      </c>
      <c r="I2025" s="14">
        <f t="shared" si="74"/>
        <v>6.3109100000000279E-2</v>
      </c>
      <c r="J2025" s="13">
        <f t="shared" si="72"/>
        <v>211069.26</v>
      </c>
    </row>
    <row r="2026" spans="1:10" x14ac:dyDescent="0.25">
      <c r="A2026" s="10">
        <v>41637</v>
      </c>
      <c r="B2026" s="11" t="s">
        <v>2</v>
      </c>
      <c r="C2026" s="11" t="s">
        <v>5</v>
      </c>
      <c r="D2026" s="16" t="str">
        <f>HYPERLINK("https://freddywills.com/pick/1379/bears-3.html", "Bears +3")</f>
        <v>Bears +3</v>
      </c>
      <c r="E2026" s="11">
        <v>5.5</v>
      </c>
      <c r="F2026" s="11">
        <v>-1.1000000000000001</v>
      </c>
      <c r="G2026" s="11" t="s">
        <v>6</v>
      </c>
      <c r="H2026" s="13">
        <v>-5500</v>
      </c>
      <c r="I2026" s="14">
        <f t="shared" si="74"/>
        <v>8.5109100000000271E-2</v>
      </c>
      <c r="J2026" s="13">
        <f t="shared" si="72"/>
        <v>213269.26</v>
      </c>
    </row>
    <row r="2027" spans="1:10" x14ac:dyDescent="0.25">
      <c r="A2027" s="10">
        <v>41637</v>
      </c>
      <c r="B2027" s="11" t="s">
        <v>2</v>
      </c>
      <c r="C2027" s="11" t="s">
        <v>5</v>
      </c>
      <c r="D2027" s="16" t="str">
        <f>HYPERLINK("https://freddywills.com/pick/1380/49ers-3.html", "49ers +3")</f>
        <v>49ers +3</v>
      </c>
      <c r="E2027" s="11">
        <v>4.4000000000000004</v>
      </c>
      <c r="F2027" s="11">
        <v>-1.1000000000000001</v>
      </c>
      <c r="G2027" s="11" t="s">
        <v>4</v>
      </c>
      <c r="H2027" s="13">
        <v>4000</v>
      </c>
      <c r="I2027" s="14">
        <f t="shared" si="74"/>
        <v>0.14010910000000026</v>
      </c>
      <c r="J2027" s="13">
        <f t="shared" si="72"/>
        <v>218769.26</v>
      </c>
    </row>
    <row r="2028" spans="1:10" x14ac:dyDescent="0.25">
      <c r="A2028" s="10">
        <v>41637</v>
      </c>
      <c r="B2028" s="11" t="s">
        <v>2</v>
      </c>
      <c r="C2028" s="11" t="s">
        <v>5</v>
      </c>
      <c r="D2028" s="16" t="str">
        <f>HYPERLINK("https://freddywills.com/pick/1381/chiefs-8-5.html", "Chiefs +8.5")</f>
        <v>Chiefs +8.5</v>
      </c>
      <c r="E2028" s="11">
        <v>2.2000000000000002</v>
      </c>
      <c r="F2028" s="11">
        <v>-1.1000000000000001</v>
      </c>
      <c r="G2028" s="11" t="s">
        <v>4</v>
      </c>
      <c r="H2028" s="13">
        <v>2000</v>
      </c>
      <c r="I2028" s="14">
        <f t="shared" si="74"/>
        <v>0.10010910000000026</v>
      </c>
      <c r="J2028" s="13">
        <f t="shared" si="72"/>
        <v>214769.26</v>
      </c>
    </row>
    <row r="2029" spans="1:10" x14ac:dyDescent="0.25">
      <c r="A2029" s="10">
        <v>41636</v>
      </c>
      <c r="B2029" s="11" t="s">
        <v>8</v>
      </c>
      <c r="C2029" s="11" t="s">
        <v>7</v>
      </c>
      <c r="D2029" s="16" t="str">
        <f>HYPERLINK("https://freddywills.com/pick/1382/nd-rutgers-u53-5.html", "ND/Rutgers U53.5")</f>
        <v>ND/Rutgers U53.5</v>
      </c>
      <c r="E2029" s="11">
        <v>1.1000000000000001</v>
      </c>
      <c r="F2029" s="11">
        <v>-1.1000000000000001</v>
      </c>
      <c r="G2029" s="11" t="s">
        <v>4</v>
      </c>
      <c r="H2029" s="13">
        <v>1000</v>
      </c>
      <c r="I2029" s="14">
        <f t="shared" si="74"/>
        <v>8.0109100000000252E-2</v>
      </c>
      <c r="J2029" s="13">
        <f t="shared" si="72"/>
        <v>212769.26</v>
      </c>
    </row>
    <row r="2030" spans="1:10" x14ac:dyDescent="0.25">
      <c r="A2030" s="10">
        <v>41636</v>
      </c>
      <c r="B2030" s="11" t="s">
        <v>8</v>
      </c>
      <c r="C2030" s="11" t="s">
        <v>5</v>
      </c>
      <c r="D2030" s="16" t="str">
        <f>HYPERLINK("https://freddywills.com/pick/1383/miami-4-5.html", "Miami +4.5")</f>
        <v>Miami +4.5</v>
      </c>
      <c r="E2030" s="11">
        <v>4.4000000000000004</v>
      </c>
      <c r="F2030" s="11">
        <v>-1.1000000000000001</v>
      </c>
      <c r="G2030" s="11" t="s">
        <v>6</v>
      </c>
      <c r="H2030" s="13">
        <v>-4400</v>
      </c>
      <c r="I2030" s="14">
        <f t="shared" si="74"/>
        <v>7.0109100000000257E-2</v>
      </c>
      <c r="J2030" s="13">
        <f t="shared" si="72"/>
        <v>211769.26</v>
      </c>
    </row>
    <row r="2031" spans="1:10" x14ac:dyDescent="0.25">
      <c r="A2031" s="10">
        <v>41636</v>
      </c>
      <c r="B2031" s="11" t="s">
        <v>8</v>
      </c>
      <c r="C2031" s="11" t="s">
        <v>5</v>
      </c>
      <c r="D2031" s="16" t="str">
        <f>HYPERLINK("https://freddywills.com/pick/1384/kansas-state-5-5.html", "Kansas State -5.5")</f>
        <v>Kansas State -5.5</v>
      </c>
      <c r="E2031" s="11">
        <v>2.2000000000000002</v>
      </c>
      <c r="F2031" s="11">
        <v>-1.1000000000000001</v>
      </c>
      <c r="G2031" s="11" t="s">
        <v>4</v>
      </c>
      <c r="H2031" s="13">
        <v>2000</v>
      </c>
      <c r="I2031" s="14">
        <f t="shared" si="74"/>
        <v>0.11410910000000025</v>
      </c>
      <c r="J2031" s="13">
        <f t="shared" si="72"/>
        <v>216169.26</v>
      </c>
    </row>
    <row r="2032" spans="1:10" x14ac:dyDescent="0.25">
      <c r="A2032" s="10">
        <v>41635</v>
      </c>
      <c r="B2032" s="11" t="s">
        <v>8</v>
      </c>
      <c r="C2032" s="11" t="s">
        <v>18</v>
      </c>
      <c r="D2032" s="16" t="str">
        <f>HYPERLINK("https://freddywills.com/pick/1387/maryland-125.html", "MARYLAND +125")</f>
        <v>MARYLAND +125</v>
      </c>
      <c r="E2032" s="11">
        <v>3.5</v>
      </c>
      <c r="F2032" s="11">
        <v>1.25</v>
      </c>
      <c r="G2032" s="11" t="s">
        <v>6</v>
      </c>
      <c r="H2032" s="13">
        <v>-3500</v>
      </c>
      <c r="I2032" s="14">
        <f t="shared" si="74"/>
        <v>9.4109100000000251E-2</v>
      </c>
      <c r="J2032" s="13">
        <f t="shared" si="72"/>
        <v>214169.26</v>
      </c>
    </row>
    <row r="2033" spans="1:10" x14ac:dyDescent="0.25">
      <c r="A2033" s="10">
        <v>41635</v>
      </c>
      <c r="B2033" s="11" t="s">
        <v>8</v>
      </c>
      <c r="C2033" s="11" t="s">
        <v>5</v>
      </c>
      <c r="D2033" s="16" t="str">
        <f>HYPERLINK("https://freddywills.com/pick/1388/syracuse-4.html", "SYRACUSE +4")</f>
        <v>SYRACUSE +4</v>
      </c>
      <c r="E2033" s="11">
        <v>5.5</v>
      </c>
      <c r="F2033" s="11">
        <v>-1.1000000000000001</v>
      </c>
      <c r="G2033" s="11" t="s">
        <v>4</v>
      </c>
      <c r="H2033" s="13">
        <v>5000</v>
      </c>
      <c r="I2033" s="14">
        <f t="shared" si="74"/>
        <v>0.12910910000000025</v>
      </c>
      <c r="J2033" s="13">
        <f t="shared" si="72"/>
        <v>217669.26</v>
      </c>
    </row>
    <row r="2034" spans="1:10" x14ac:dyDescent="0.25">
      <c r="A2034" s="10">
        <v>41635</v>
      </c>
      <c r="B2034" s="11" t="s">
        <v>8</v>
      </c>
      <c r="C2034" s="11" t="s">
        <v>5</v>
      </c>
      <c r="D2034" s="16" t="str">
        <f>HYPERLINK("https://freddywills.com/pick/1390/washington-4.html", "Washington -4")</f>
        <v>Washington -4</v>
      </c>
      <c r="E2034" s="11">
        <v>1.1000000000000001</v>
      </c>
      <c r="F2034" s="11">
        <v>-1.1000000000000001</v>
      </c>
      <c r="G2034" s="11" t="s">
        <v>4</v>
      </c>
      <c r="H2034" s="13">
        <v>1000</v>
      </c>
      <c r="I2034" s="14">
        <f t="shared" si="74"/>
        <v>7.9109100000000265E-2</v>
      </c>
      <c r="J2034" s="13">
        <f t="shared" si="72"/>
        <v>212669.26</v>
      </c>
    </row>
    <row r="2035" spans="1:10" x14ac:dyDescent="0.25">
      <c r="A2035" s="10">
        <v>41634</v>
      </c>
      <c r="B2035" s="11" t="s">
        <v>8</v>
      </c>
      <c r="C2035" s="11" t="s">
        <v>5</v>
      </c>
      <c r="D2035" s="16" t="str">
        <f>HYPERLINK("https://freddywills.com/pick/1391/pitt-5.html", "PITT +5")</f>
        <v>PITT +5</v>
      </c>
      <c r="E2035" s="11">
        <v>3.3</v>
      </c>
      <c r="F2035" s="11">
        <v>-1.1000000000000001</v>
      </c>
      <c r="G2035" s="11" t="s">
        <v>4</v>
      </c>
      <c r="H2035" s="13">
        <v>3000</v>
      </c>
      <c r="I2035" s="14">
        <f t="shared" si="74"/>
        <v>6.910910000000027E-2</v>
      </c>
      <c r="J2035" s="13">
        <f t="shared" si="72"/>
        <v>211669.26</v>
      </c>
    </row>
    <row r="2036" spans="1:10" x14ac:dyDescent="0.25">
      <c r="A2036" s="10">
        <v>41634</v>
      </c>
      <c r="B2036" s="11" t="s">
        <v>8</v>
      </c>
      <c r="C2036" s="11" t="s">
        <v>5</v>
      </c>
      <c r="D2036" s="16" t="str">
        <f>HYPERLINK("https://freddywills.com/pick/1392/utah-st-pk.html", "UTAH ST PK")</f>
        <v>UTAH ST PK</v>
      </c>
      <c r="E2036" s="11">
        <v>5.5</v>
      </c>
      <c r="F2036" s="11">
        <v>-1.1000000000000001</v>
      </c>
      <c r="G2036" s="11" t="s">
        <v>4</v>
      </c>
      <c r="H2036" s="13">
        <v>5000</v>
      </c>
      <c r="I2036" s="14">
        <f t="shared" si="74"/>
        <v>3.9109100000000271E-2</v>
      </c>
      <c r="J2036" s="13">
        <f t="shared" si="72"/>
        <v>208669.26</v>
      </c>
    </row>
    <row r="2037" spans="1:10" x14ac:dyDescent="0.25">
      <c r="A2037" s="10">
        <v>41632</v>
      </c>
      <c r="B2037" s="11" t="s">
        <v>8</v>
      </c>
      <c r="C2037" s="11" t="s">
        <v>5</v>
      </c>
      <c r="D2037" s="16" t="str">
        <f>HYPERLINK("https://freddywills.com/pick/1396/oregon-st-3.html", "Oregon St -3")</f>
        <v>Oregon St -3</v>
      </c>
      <c r="E2037" s="11">
        <v>5.5</v>
      </c>
      <c r="F2037" s="11">
        <v>-1.1000000000000001</v>
      </c>
      <c r="G2037" s="11" t="s">
        <v>4</v>
      </c>
      <c r="H2037" s="13">
        <v>5000</v>
      </c>
      <c r="I2037" s="14">
        <f t="shared" si="74"/>
        <v>-1.0890899999999731E-2</v>
      </c>
      <c r="J2037" s="13">
        <f t="shared" si="72"/>
        <v>203669.26</v>
      </c>
    </row>
    <row r="2038" spans="1:10" x14ac:dyDescent="0.25">
      <c r="A2038" s="10">
        <v>41631</v>
      </c>
      <c r="B2038" s="11" t="s">
        <v>8</v>
      </c>
      <c r="C2038" s="11" t="s">
        <v>5</v>
      </c>
      <c r="D2038" s="16" t="str">
        <f>HYPERLINK("https://freddywills.com/pick/1397/ohio-14-5.html", "Ohio +14.5")</f>
        <v>Ohio +14.5</v>
      </c>
      <c r="E2038" s="11">
        <v>4.5</v>
      </c>
      <c r="F2038" s="11">
        <v>-1.1000000000000001</v>
      </c>
      <c r="G2038" s="11" t="s">
        <v>6</v>
      </c>
      <c r="H2038" s="13">
        <v>-4500</v>
      </c>
      <c r="I2038" s="14">
        <f t="shared" si="74"/>
        <v>-6.0890899999999734E-2</v>
      </c>
      <c r="J2038" s="13">
        <f t="shared" si="72"/>
        <v>198669.26</v>
      </c>
    </row>
    <row r="2039" spans="1:10" x14ac:dyDescent="0.25">
      <c r="A2039" s="10">
        <v>41631</v>
      </c>
      <c r="B2039" s="11" t="s">
        <v>8</v>
      </c>
      <c r="C2039" s="11" t="s">
        <v>18</v>
      </c>
      <c r="D2039" s="16" t="str">
        <f>HYPERLINK("https://freddywills.com/pick/1398/ohio-460.html", "Ohio +460")</f>
        <v>Ohio +460</v>
      </c>
      <c r="E2039" s="11">
        <v>1</v>
      </c>
      <c r="F2039" s="11">
        <v>4.5999999999999996</v>
      </c>
      <c r="G2039" s="11" t="s">
        <v>6</v>
      </c>
      <c r="H2039" s="13">
        <v>-1000</v>
      </c>
      <c r="I2039" s="14">
        <f t="shared" si="74"/>
        <v>-1.5890899999999736E-2</v>
      </c>
      <c r="J2039" s="13">
        <f t="shared" si="72"/>
        <v>203169.26</v>
      </c>
    </row>
    <row r="2040" spans="1:10" x14ac:dyDescent="0.25">
      <c r="A2040" s="10">
        <v>41630</v>
      </c>
      <c r="B2040" s="11" t="s">
        <v>2</v>
      </c>
      <c r="C2040" s="11" t="s">
        <v>10</v>
      </c>
      <c r="D2040" s="16" t="str">
        <f>HYPERLINK("https://freddywills.com/pick/1399/chiefs-0-5-bengals-2.html", "Chiefs -0.5 / Bengals -2")</f>
        <v>Chiefs -0.5 / Bengals -2</v>
      </c>
      <c r="E2040" s="11">
        <v>5.5</v>
      </c>
      <c r="F2040" s="11">
        <v>-1.1000000000000001</v>
      </c>
      <c r="G2040" s="11" t="s">
        <v>6</v>
      </c>
      <c r="H2040" s="13">
        <v>-5500</v>
      </c>
      <c r="I2040" s="14">
        <f t="shared" si="74"/>
        <v>-5.8908999999997338E-3</v>
      </c>
      <c r="J2040" s="13">
        <f t="shared" si="72"/>
        <v>204169.26</v>
      </c>
    </row>
    <row r="2041" spans="1:10" x14ac:dyDescent="0.25">
      <c r="A2041" s="10">
        <v>41630</v>
      </c>
      <c r="B2041" s="11" t="s">
        <v>2</v>
      </c>
      <c r="C2041" s="11" t="s">
        <v>5</v>
      </c>
      <c r="D2041" s="16" t="str">
        <f>HYPERLINK("https://freddywills.com/pick/1400/bills-3.html", "Bills +3")</f>
        <v>Bills +3</v>
      </c>
      <c r="E2041" s="11">
        <v>1.1000000000000001</v>
      </c>
      <c r="F2041" s="11">
        <v>-1.1000000000000001</v>
      </c>
      <c r="G2041" s="11" t="s">
        <v>4</v>
      </c>
      <c r="H2041" s="13">
        <v>1000</v>
      </c>
      <c r="I2041" s="14">
        <f t="shared" si="74"/>
        <v>4.9109100000000266E-2</v>
      </c>
      <c r="J2041" s="13">
        <f t="shared" si="72"/>
        <v>209669.26</v>
      </c>
    </row>
    <row r="2042" spans="1:10" x14ac:dyDescent="0.25">
      <c r="A2042" s="10">
        <v>41630</v>
      </c>
      <c r="B2042" s="11" t="s">
        <v>2</v>
      </c>
      <c r="C2042" s="11" t="s">
        <v>5</v>
      </c>
      <c r="D2042" s="16" t="str">
        <f>HYPERLINK("https://freddywills.com/pick/1401/ravens-2.html", "Ravens -2")</f>
        <v>Ravens -2</v>
      </c>
      <c r="E2042" s="11">
        <v>5.5</v>
      </c>
      <c r="F2042" s="11">
        <v>-1.1000000000000001</v>
      </c>
      <c r="G2042" s="11" t="s">
        <v>6</v>
      </c>
      <c r="H2042" s="13">
        <v>-5500</v>
      </c>
      <c r="I2042" s="14">
        <f t="shared" si="74"/>
        <v>3.9109100000000264E-2</v>
      </c>
      <c r="J2042" s="13">
        <f t="shared" si="72"/>
        <v>208669.26</v>
      </c>
    </row>
    <row r="2043" spans="1:10" x14ac:dyDescent="0.25">
      <c r="A2043" s="10">
        <v>41630</v>
      </c>
      <c r="B2043" s="11" t="s">
        <v>2</v>
      </c>
      <c r="C2043" s="11" t="s">
        <v>5</v>
      </c>
      <c r="D2043" s="16" t="str">
        <f>HYPERLINK("https://freddywills.com/pick/1402/saints-3-5.html", "Saints +3.5")</f>
        <v>Saints +3.5</v>
      </c>
      <c r="E2043" s="11">
        <v>4.4000000000000004</v>
      </c>
      <c r="F2043" s="11">
        <v>-1.1000000000000001</v>
      </c>
      <c r="G2043" s="11" t="s">
        <v>6</v>
      </c>
      <c r="H2043" s="13">
        <v>-4400</v>
      </c>
      <c r="I2043" s="14">
        <f t="shared" si="74"/>
        <v>9.4109100000000265E-2</v>
      </c>
      <c r="J2043" s="13">
        <f t="shared" si="72"/>
        <v>214169.26</v>
      </c>
    </row>
    <row r="2044" spans="1:10" x14ac:dyDescent="0.25">
      <c r="A2044" s="10">
        <v>41629</v>
      </c>
      <c r="B2044" s="11" t="s">
        <v>8</v>
      </c>
      <c r="C2044" s="11" t="s">
        <v>5</v>
      </c>
      <c r="D2044" s="16" t="str">
        <f>HYPERLINK("https://freddywills.com/pick/1403/wash-st-4.html", "Wash St -4")</f>
        <v>Wash St -4</v>
      </c>
      <c r="E2044" s="11">
        <v>1.1000000000000001</v>
      </c>
      <c r="F2044" s="11">
        <v>-1.1000000000000001</v>
      </c>
      <c r="G2044" s="11" t="s">
        <v>6</v>
      </c>
      <c r="H2044" s="13">
        <v>-1100</v>
      </c>
      <c r="I2044" s="14">
        <f t="shared" si="74"/>
        <v>0.13810910000000026</v>
      </c>
      <c r="J2044" s="13">
        <f t="shared" ref="J2044:J2107" si="75">H2044+J2045</f>
        <v>218569.26</v>
      </c>
    </row>
    <row r="2045" spans="1:10" x14ac:dyDescent="0.25">
      <c r="A2045" s="10">
        <v>41629</v>
      </c>
      <c r="B2045" s="11" t="s">
        <v>8</v>
      </c>
      <c r="C2045" s="11" t="s">
        <v>5</v>
      </c>
      <c r="D2045" s="16" t="str">
        <f>HYPERLINK("https://freddywills.com/pick/1404/ul-lafayette-3-115.html", "UL Lafayette +3 -115")</f>
        <v>UL Lafayette +3 -115</v>
      </c>
      <c r="E2045" s="11">
        <v>5.5</v>
      </c>
      <c r="F2045" s="11">
        <v>-1.1499999999999999</v>
      </c>
      <c r="G2045" s="11" t="s">
        <v>4</v>
      </c>
      <c r="H2045" s="13">
        <v>4782.6099999999997</v>
      </c>
      <c r="I2045" s="14">
        <f t="shared" si="74"/>
        <v>0.14910910000000027</v>
      </c>
      <c r="J2045" s="13">
        <f t="shared" si="75"/>
        <v>219669.26</v>
      </c>
    </row>
    <row r="2046" spans="1:10" x14ac:dyDescent="0.25">
      <c r="A2046" s="10">
        <v>41629</v>
      </c>
      <c r="B2046" s="11" t="s">
        <v>8</v>
      </c>
      <c r="C2046" s="11" t="s">
        <v>5</v>
      </c>
      <c r="D2046" s="16" t="str">
        <f>HYPERLINK("https://freddywills.com/pick/1405/sd-state-1.html", "SD State +1")</f>
        <v>SD State +1</v>
      </c>
      <c r="E2046" s="11">
        <v>3.3</v>
      </c>
      <c r="F2046" s="11">
        <v>-1.1000000000000001</v>
      </c>
      <c r="G2046" s="11" t="s">
        <v>4</v>
      </c>
      <c r="H2046" s="13">
        <v>3000</v>
      </c>
      <c r="I2046" s="14">
        <f t="shared" si="74"/>
        <v>0.10128300000000026</v>
      </c>
      <c r="J2046" s="13">
        <f t="shared" si="75"/>
        <v>214886.65000000002</v>
      </c>
    </row>
    <row r="2047" spans="1:10" x14ac:dyDescent="0.25">
      <c r="A2047" s="10">
        <v>41623</v>
      </c>
      <c r="B2047" s="11" t="s">
        <v>2</v>
      </c>
      <c r="C2047" s="11" t="s">
        <v>5</v>
      </c>
      <c r="D2047" s="16" t="str">
        <f>HYPERLINK("https://freddywills.com/pick/1415/browns-1-5.html", "Browns +1.5")</f>
        <v>Browns +1.5</v>
      </c>
      <c r="E2047" s="11">
        <v>3.3</v>
      </c>
      <c r="F2047" s="11">
        <v>-1.1000000000000001</v>
      </c>
      <c r="G2047" s="11" t="s">
        <v>6</v>
      </c>
      <c r="H2047" s="13">
        <v>-3300</v>
      </c>
      <c r="I2047" s="14">
        <f t="shared" si="74"/>
        <v>7.1283000000000263E-2</v>
      </c>
      <c r="J2047" s="13">
        <f t="shared" si="75"/>
        <v>211886.65000000002</v>
      </c>
    </row>
    <row r="2048" spans="1:10" x14ac:dyDescent="0.25">
      <c r="A2048" s="10">
        <v>41623</v>
      </c>
      <c r="B2048" s="11" t="s">
        <v>2</v>
      </c>
      <c r="C2048" s="11" t="s">
        <v>18</v>
      </c>
      <c r="D2048" s="16" t="str">
        <f>HYPERLINK("https://freddywills.com/pick/1416/titans-125.html", "Titans +125")</f>
        <v>Titans +125</v>
      </c>
      <c r="E2048" s="11">
        <v>3</v>
      </c>
      <c r="F2048" s="11">
        <v>1.25</v>
      </c>
      <c r="G2048" s="11" t="s">
        <v>6</v>
      </c>
      <c r="H2048" s="13">
        <v>-3000</v>
      </c>
      <c r="I2048" s="14">
        <f t="shared" si="74"/>
        <v>0.10428300000000026</v>
      </c>
      <c r="J2048" s="13">
        <f t="shared" si="75"/>
        <v>215186.65000000002</v>
      </c>
    </row>
    <row r="2049" spans="1:10" x14ac:dyDescent="0.25">
      <c r="A2049" s="10">
        <v>41623</v>
      </c>
      <c r="B2049" s="11" t="s">
        <v>2</v>
      </c>
      <c r="C2049" s="11" t="s">
        <v>5</v>
      </c>
      <c r="D2049" s="16" t="str">
        <f>HYPERLINK("https://freddywills.com/pick/1417/dolphins-1.html", "Dolphins -1")</f>
        <v>Dolphins -1</v>
      </c>
      <c r="E2049" s="11">
        <v>5.5</v>
      </c>
      <c r="F2049" s="11">
        <v>-1.1000000000000001</v>
      </c>
      <c r="G2049" s="11" t="s">
        <v>4</v>
      </c>
      <c r="H2049" s="13">
        <v>5000</v>
      </c>
      <c r="I2049" s="14">
        <f t="shared" si="74"/>
        <v>0.13428300000000026</v>
      </c>
      <c r="J2049" s="13">
        <f t="shared" si="75"/>
        <v>218186.65000000002</v>
      </c>
    </row>
    <row r="2050" spans="1:10" x14ac:dyDescent="0.25">
      <c r="A2050" s="10">
        <v>41623</v>
      </c>
      <c r="B2050" s="11" t="s">
        <v>2</v>
      </c>
      <c r="C2050" s="11" t="s">
        <v>5</v>
      </c>
      <c r="D2050" s="16" t="str">
        <f>HYPERLINK("https://freddywills.com/pick/1418/bills-3.html", "Bills -3")</f>
        <v>Bills -3</v>
      </c>
      <c r="E2050" s="11">
        <v>1.1000000000000001</v>
      </c>
      <c r="F2050" s="11">
        <v>-1.1000000000000001</v>
      </c>
      <c r="G2050" s="11" t="s">
        <v>4</v>
      </c>
      <c r="H2050" s="13">
        <v>1000</v>
      </c>
      <c r="I2050" s="14">
        <f t="shared" si="74"/>
        <v>8.428300000000026E-2</v>
      </c>
      <c r="J2050" s="13">
        <f t="shared" si="75"/>
        <v>213186.65000000002</v>
      </c>
    </row>
    <row r="2051" spans="1:10" x14ac:dyDescent="0.25">
      <c r="A2051" s="10">
        <v>41622</v>
      </c>
      <c r="B2051" s="11" t="s">
        <v>8</v>
      </c>
      <c r="C2051" s="11" t="s">
        <v>5</v>
      </c>
      <c r="D2051" s="16" t="str">
        <f>HYPERLINK("https://freddywills.com/pick/1420/navy-12.html", "Navy -12")</f>
        <v>Navy -12</v>
      </c>
      <c r="E2051" s="11">
        <v>4.4000000000000004</v>
      </c>
      <c r="F2051" s="11">
        <v>-1.1000000000000001</v>
      </c>
      <c r="G2051" s="11" t="s">
        <v>4</v>
      </c>
      <c r="H2051" s="13">
        <v>4000</v>
      </c>
      <c r="I2051" s="14">
        <f t="shared" si="74"/>
        <v>7.4283000000000265E-2</v>
      </c>
      <c r="J2051" s="13">
        <f t="shared" si="75"/>
        <v>212186.65000000002</v>
      </c>
    </row>
    <row r="2052" spans="1:10" x14ac:dyDescent="0.25">
      <c r="A2052" s="10">
        <v>41622</v>
      </c>
      <c r="B2052" s="11" t="s">
        <v>8</v>
      </c>
      <c r="C2052" s="11" t="s">
        <v>10</v>
      </c>
      <c r="D2052" s="16" t="str">
        <f>HYPERLINK("https://freddywills.com/pick/1421/navy-6-over45.html", "Navy -6 / Over45")</f>
        <v>Navy -6 / Over45</v>
      </c>
      <c r="E2052" s="11">
        <v>2.75</v>
      </c>
      <c r="F2052" s="11">
        <v>-1.1000000000000001</v>
      </c>
      <c r="G2052" s="11" t="s">
        <v>6</v>
      </c>
      <c r="H2052" s="13">
        <v>-2750</v>
      </c>
      <c r="I2052" s="14">
        <f t="shared" si="74"/>
        <v>3.4283000000000272E-2</v>
      </c>
      <c r="J2052" s="13">
        <f t="shared" si="75"/>
        <v>208186.65000000002</v>
      </c>
    </row>
    <row r="2053" spans="1:10" x14ac:dyDescent="0.25">
      <c r="A2053" s="10">
        <v>41616</v>
      </c>
      <c r="B2053" s="11" t="s">
        <v>2</v>
      </c>
      <c r="C2053" s="11" t="s">
        <v>5</v>
      </c>
      <c r="D2053" s="16" t="str">
        <f>HYPERLINK("https://freddywills.com/pick/1428/49ers-2-5.html", "49ers -2.5")</f>
        <v>49ers -2.5</v>
      </c>
      <c r="E2053" s="11">
        <v>4.4000000000000004</v>
      </c>
      <c r="F2053" s="11">
        <v>-1.1000000000000001</v>
      </c>
      <c r="G2053" s="11" t="s">
        <v>6</v>
      </c>
      <c r="H2053" s="13">
        <v>-4400</v>
      </c>
      <c r="I2053" s="14">
        <f t="shared" si="74"/>
        <v>6.1783000000000268E-2</v>
      </c>
      <c r="J2053" s="13">
        <f t="shared" si="75"/>
        <v>210936.65000000002</v>
      </c>
    </row>
    <row r="2054" spans="1:10" x14ac:dyDescent="0.25">
      <c r="A2054" s="10">
        <v>41616</v>
      </c>
      <c r="B2054" s="11" t="s">
        <v>2</v>
      </c>
      <c r="C2054" s="11" t="s">
        <v>7</v>
      </c>
      <c r="D2054" s="16" t="str">
        <f>HYPERLINK("https://freddywills.com/pick/1429/saints-panthers-o45-5.html", "Saints/Panthers O45.5")</f>
        <v>Saints/Panthers O45.5</v>
      </c>
      <c r="E2054" s="11">
        <v>5.5</v>
      </c>
      <c r="F2054" s="11">
        <v>-1.1000000000000001</v>
      </c>
      <c r="G2054" s="11" t="s">
        <v>6</v>
      </c>
      <c r="H2054" s="13">
        <v>-5500</v>
      </c>
      <c r="I2054" s="14">
        <f t="shared" si="74"/>
        <v>0.10578300000000027</v>
      </c>
      <c r="J2054" s="13">
        <f t="shared" si="75"/>
        <v>215336.65000000002</v>
      </c>
    </row>
    <row r="2055" spans="1:10" x14ac:dyDescent="0.25">
      <c r="A2055" s="10">
        <v>41616</v>
      </c>
      <c r="B2055" s="11" t="s">
        <v>2</v>
      </c>
      <c r="C2055" s="11" t="s">
        <v>5</v>
      </c>
      <c r="D2055" s="16" t="str">
        <f>HYPERLINK("https://freddywills.com/pick/1430/redskins-3-102.html", "Redskins +3 +102")</f>
        <v>Redskins +3 +102</v>
      </c>
      <c r="E2055" s="11">
        <v>1</v>
      </c>
      <c r="F2055" s="11">
        <v>1.02</v>
      </c>
      <c r="G2055" s="11" t="s">
        <v>6</v>
      </c>
      <c r="H2055" s="13">
        <v>-1000</v>
      </c>
      <c r="I2055" s="14">
        <f t="shared" si="74"/>
        <v>0.16078300000000026</v>
      </c>
      <c r="J2055" s="13">
        <f t="shared" si="75"/>
        <v>220836.65000000002</v>
      </c>
    </row>
    <row r="2056" spans="1:10" x14ac:dyDescent="0.25">
      <c r="A2056" s="10">
        <v>41615</v>
      </c>
      <c r="B2056" s="11" t="s">
        <v>8</v>
      </c>
      <c r="C2056" s="11" t="s">
        <v>5</v>
      </c>
      <c r="D2056" s="16" t="str">
        <f>HYPERLINK("https://freddywills.com/pick/1431/s-alabama-3.html", "S. Alabama -3")</f>
        <v>S. Alabama -3</v>
      </c>
      <c r="E2056" s="11">
        <v>1.1000000000000001</v>
      </c>
      <c r="F2056" s="11">
        <v>-1.1000000000000001</v>
      </c>
      <c r="G2056" s="11" t="s">
        <v>4</v>
      </c>
      <c r="H2056" s="13">
        <v>1000</v>
      </c>
      <c r="I2056" s="14">
        <f t="shared" ref="I2056:I2119" si="76">(H2056/100000)+I2057</f>
        <v>0.17078300000000027</v>
      </c>
      <c r="J2056" s="13">
        <f t="shared" si="75"/>
        <v>221836.65000000002</v>
      </c>
    </row>
    <row r="2057" spans="1:10" x14ac:dyDescent="0.25">
      <c r="A2057" s="10">
        <v>41615</v>
      </c>
      <c r="B2057" s="11" t="s">
        <v>8</v>
      </c>
      <c r="C2057" s="11" t="s">
        <v>5</v>
      </c>
      <c r="D2057" s="16" t="str">
        <f>HYPERLINK("https://freddywills.com/pick/1432/oklahoma-10.html", "Oklahoma +10")</f>
        <v>Oklahoma +10</v>
      </c>
      <c r="E2057" s="11">
        <v>4.4000000000000004</v>
      </c>
      <c r="F2057" s="11">
        <v>-1.1000000000000001</v>
      </c>
      <c r="G2057" s="11" t="s">
        <v>4</v>
      </c>
      <c r="H2057" s="13">
        <v>4000</v>
      </c>
      <c r="I2057" s="14">
        <f t="shared" si="76"/>
        <v>0.16078300000000026</v>
      </c>
      <c r="J2057" s="13">
        <f t="shared" si="75"/>
        <v>220836.65000000002</v>
      </c>
    </row>
    <row r="2058" spans="1:10" x14ac:dyDescent="0.25">
      <c r="A2058" s="10">
        <v>41615</v>
      </c>
      <c r="B2058" s="11" t="s">
        <v>8</v>
      </c>
      <c r="C2058" s="11" t="s">
        <v>5</v>
      </c>
      <c r="D2058" s="16" t="str">
        <f>HYPERLINK("https://freddywills.com/pick/1433/rice-7.html", "Rice +7")</f>
        <v>Rice +7</v>
      </c>
      <c r="E2058" s="11">
        <v>3.3</v>
      </c>
      <c r="F2058" s="11">
        <v>-1.1000000000000001</v>
      </c>
      <c r="G2058" s="11" t="s">
        <v>4</v>
      </c>
      <c r="H2058" s="13">
        <v>3000</v>
      </c>
      <c r="I2058" s="14">
        <f t="shared" si="76"/>
        <v>0.12078300000000025</v>
      </c>
      <c r="J2058" s="13">
        <f t="shared" si="75"/>
        <v>216836.65000000002</v>
      </c>
    </row>
    <row r="2059" spans="1:10" x14ac:dyDescent="0.25">
      <c r="A2059" s="10">
        <v>41615</v>
      </c>
      <c r="B2059" s="11" t="s">
        <v>8</v>
      </c>
      <c r="C2059" s="11" t="s">
        <v>7</v>
      </c>
      <c r="D2059" s="16" t="str">
        <f>HYPERLINK("https://freddywills.com/pick/1434/asu-stanford-u56.html", "ASU/Stanford U56")</f>
        <v>ASU/Stanford U56</v>
      </c>
      <c r="E2059" s="11">
        <v>3.3</v>
      </c>
      <c r="F2059" s="11">
        <v>-1.1000000000000001</v>
      </c>
      <c r="G2059" s="11" t="s">
        <v>4</v>
      </c>
      <c r="H2059" s="13">
        <v>3000</v>
      </c>
      <c r="I2059" s="14">
        <f t="shared" si="76"/>
        <v>9.0783000000000252E-2</v>
      </c>
      <c r="J2059" s="13">
        <f t="shared" si="75"/>
        <v>213836.65000000002</v>
      </c>
    </row>
    <row r="2060" spans="1:10" x14ac:dyDescent="0.25">
      <c r="A2060" s="10">
        <v>41615</v>
      </c>
      <c r="B2060" s="11" t="s">
        <v>8</v>
      </c>
      <c r="C2060" s="11" t="s">
        <v>5</v>
      </c>
      <c r="D2060" s="16" t="str">
        <f>HYPERLINK("https://freddywills.com/pick/1435/missouri.html", "Missouri")</f>
        <v>Missouri</v>
      </c>
      <c r="E2060" s="11">
        <v>5.5</v>
      </c>
      <c r="F2060" s="11">
        <v>-1.1000000000000001</v>
      </c>
      <c r="G2060" s="11" t="s">
        <v>6</v>
      </c>
      <c r="H2060" s="13">
        <v>-5500</v>
      </c>
      <c r="I2060" s="14">
        <f t="shared" si="76"/>
        <v>6.078300000000026E-2</v>
      </c>
      <c r="J2060" s="13">
        <f t="shared" si="75"/>
        <v>210836.65000000002</v>
      </c>
    </row>
    <row r="2061" spans="1:10" x14ac:dyDescent="0.25">
      <c r="A2061" s="10">
        <v>41615</v>
      </c>
      <c r="B2061" s="11" t="s">
        <v>8</v>
      </c>
      <c r="C2061" s="11" t="s">
        <v>5</v>
      </c>
      <c r="D2061" s="16" t="str">
        <f>HYPERLINK("https://freddywills.com/pick/1436/msu-6.html", "MSU +6")</f>
        <v>MSU +6</v>
      </c>
      <c r="E2061" s="11">
        <v>2.2000000000000002</v>
      </c>
      <c r="F2061" s="11">
        <v>-1.1000000000000001</v>
      </c>
      <c r="G2061" s="11" t="s">
        <v>4</v>
      </c>
      <c r="H2061" s="13">
        <v>2000</v>
      </c>
      <c r="I2061" s="14">
        <f t="shared" si="76"/>
        <v>0.11578300000000026</v>
      </c>
      <c r="J2061" s="13">
        <f t="shared" si="75"/>
        <v>216336.65000000002</v>
      </c>
    </row>
    <row r="2062" spans="1:10" x14ac:dyDescent="0.25">
      <c r="A2062" s="10">
        <v>41615</v>
      </c>
      <c r="B2062" s="11" t="s">
        <v>8</v>
      </c>
      <c r="C2062" s="11" t="s">
        <v>18</v>
      </c>
      <c r="D2062" s="16" t="str">
        <f>HYPERLINK("https://freddywills.com/pick/1437/utah-st-140.html", "Utah St +140")</f>
        <v>Utah St +140</v>
      </c>
      <c r="E2062" s="11">
        <v>3</v>
      </c>
      <c r="F2062" s="11">
        <v>1.4</v>
      </c>
      <c r="G2062" s="11" t="s">
        <v>6</v>
      </c>
      <c r="H2062" s="13">
        <v>-3000</v>
      </c>
      <c r="I2062" s="14">
        <f t="shared" si="76"/>
        <v>9.5783000000000257E-2</v>
      </c>
      <c r="J2062" s="13">
        <f t="shared" si="75"/>
        <v>214336.65000000002</v>
      </c>
    </row>
    <row r="2063" spans="1:10" x14ac:dyDescent="0.25">
      <c r="A2063" s="10">
        <v>41614</v>
      </c>
      <c r="B2063" s="11" t="s">
        <v>8</v>
      </c>
      <c r="C2063" s="11" t="s">
        <v>5</v>
      </c>
      <c r="D2063" s="16" t="str">
        <f>HYPERLINK("https://freddywills.com/pick/1438/b-green-3-5-115.html", "B. Green +3.5 -115")</f>
        <v>B. Green +3.5 -115</v>
      </c>
      <c r="E2063" s="11">
        <v>4.5</v>
      </c>
      <c r="F2063" s="11">
        <v>-1.1499999999999999</v>
      </c>
      <c r="G2063" s="11" t="s">
        <v>4</v>
      </c>
      <c r="H2063" s="13">
        <v>3913.04</v>
      </c>
      <c r="I2063" s="14">
        <f t="shared" si="76"/>
        <v>0.12578300000000026</v>
      </c>
      <c r="J2063" s="13">
        <f t="shared" si="75"/>
        <v>217336.65000000002</v>
      </c>
    </row>
    <row r="2064" spans="1:10" x14ac:dyDescent="0.25">
      <c r="A2064" s="10">
        <v>41613</v>
      </c>
      <c r="B2064" s="11" t="s">
        <v>8</v>
      </c>
      <c r="C2064" s="11" t="s">
        <v>5</v>
      </c>
      <c r="D2064" s="16" t="str">
        <f>HYPERLINK("https://freddywills.com/pick/1439/louisville-3.html", "Louisville -3")</f>
        <v>Louisville -3</v>
      </c>
      <c r="E2064" s="11">
        <v>3.3</v>
      </c>
      <c r="F2064" s="11">
        <v>-1.1000000000000001</v>
      </c>
      <c r="G2064" s="11" t="s">
        <v>4</v>
      </c>
      <c r="H2064" s="13">
        <v>3000</v>
      </c>
      <c r="I2064" s="14">
        <f t="shared" si="76"/>
        <v>8.6652600000000246E-2</v>
      </c>
      <c r="J2064" s="13">
        <f t="shared" si="75"/>
        <v>213423.61000000002</v>
      </c>
    </row>
    <row r="2065" spans="1:10" x14ac:dyDescent="0.25">
      <c r="A2065" s="10">
        <v>41613</v>
      </c>
      <c r="B2065" s="11" t="s">
        <v>2</v>
      </c>
      <c r="C2065" s="11" t="s">
        <v>5</v>
      </c>
      <c r="D2065" s="16" t="str">
        <f>HYPERLINK("https://freddywills.com/pick/1440/texans-3.html", "Texans -3")</f>
        <v>Texans -3</v>
      </c>
      <c r="E2065" s="11">
        <v>4.4000000000000004</v>
      </c>
      <c r="F2065" s="11">
        <v>-1.1000000000000001</v>
      </c>
      <c r="G2065" s="11" t="s">
        <v>6</v>
      </c>
      <c r="H2065" s="13">
        <v>-4400</v>
      </c>
      <c r="I2065" s="14">
        <f t="shared" si="76"/>
        <v>5.6652600000000247E-2</v>
      </c>
      <c r="J2065" s="13">
        <f t="shared" si="75"/>
        <v>210423.61000000002</v>
      </c>
    </row>
    <row r="2066" spans="1:10" x14ac:dyDescent="0.25">
      <c r="A2066" s="10">
        <v>41610</v>
      </c>
      <c r="B2066" s="11" t="s">
        <v>2</v>
      </c>
      <c r="C2066" s="11" t="s">
        <v>7</v>
      </c>
      <c r="D2066" s="16" t="str">
        <f>HYPERLINK("https://freddywills.com/pick/1446/saints-seahawks-o47-5.html", "Saints/Seahawks O47.5")</f>
        <v>Saints/Seahawks O47.5</v>
      </c>
      <c r="E2066" s="11">
        <v>4.4000000000000004</v>
      </c>
      <c r="F2066" s="11">
        <v>-1.1000000000000001</v>
      </c>
      <c r="G2066" s="11" t="s">
        <v>6</v>
      </c>
      <c r="H2066" s="13">
        <v>-4400</v>
      </c>
      <c r="I2066" s="14">
        <f t="shared" si="76"/>
        <v>0.10065260000000024</v>
      </c>
      <c r="J2066" s="13">
        <f t="shared" si="75"/>
        <v>214823.61000000002</v>
      </c>
    </row>
    <row r="2067" spans="1:10" x14ac:dyDescent="0.25">
      <c r="A2067" s="10">
        <v>41609</v>
      </c>
      <c r="B2067" s="11" t="s">
        <v>2</v>
      </c>
      <c r="C2067" s="11" t="s">
        <v>5</v>
      </c>
      <c r="D2067" s="16" t="str">
        <f>HYPERLINK("https://freddywills.com/pick/1447/texans-7.html", "Texans +7")</f>
        <v>Texans +7</v>
      </c>
      <c r="E2067" s="11">
        <v>2.2000000000000002</v>
      </c>
      <c r="F2067" s="11">
        <v>-1.1000000000000001</v>
      </c>
      <c r="G2067" s="11" t="s">
        <v>4</v>
      </c>
      <c r="H2067" s="13">
        <v>2000</v>
      </c>
      <c r="I2067" s="14">
        <f t="shared" si="76"/>
        <v>0.14465260000000024</v>
      </c>
      <c r="J2067" s="13">
        <f t="shared" si="75"/>
        <v>219223.61000000002</v>
      </c>
    </row>
    <row r="2068" spans="1:10" x14ac:dyDescent="0.25">
      <c r="A2068" s="10">
        <v>41609</v>
      </c>
      <c r="B2068" s="11" t="s">
        <v>2</v>
      </c>
      <c r="C2068" s="11" t="s">
        <v>10</v>
      </c>
      <c r="D2068" s="16" t="str">
        <f>HYPERLINK("https://freddywills.com/pick/1448/panthers-0-5-49ers-1.html", "Panthers -0.5 / 49ers -1")</f>
        <v>Panthers -0.5 / 49ers -1</v>
      </c>
      <c r="E2068" s="11">
        <v>4.4000000000000004</v>
      </c>
      <c r="F2068" s="11">
        <v>-1.1000000000000001</v>
      </c>
      <c r="G2068" s="11" t="s">
        <v>4</v>
      </c>
      <c r="H2068" s="13">
        <v>4000</v>
      </c>
      <c r="I2068" s="14">
        <f t="shared" si="76"/>
        <v>0.12465260000000025</v>
      </c>
      <c r="J2068" s="13">
        <f t="shared" si="75"/>
        <v>217223.61000000002</v>
      </c>
    </row>
    <row r="2069" spans="1:10" x14ac:dyDescent="0.25">
      <c r="A2069" s="10">
        <v>41609</v>
      </c>
      <c r="B2069" s="11" t="s">
        <v>2</v>
      </c>
      <c r="C2069" s="11" t="s">
        <v>18</v>
      </c>
      <c r="D2069" s="16" t="str">
        <f>HYPERLINK("https://freddywills.com/pick/1449/bears-102.html", "Bears +102")</f>
        <v>Bears +102</v>
      </c>
      <c r="E2069" s="11">
        <v>1</v>
      </c>
      <c r="F2069" s="11">
        <v>1.02</v>
      </c>
      <c r="G2069" s="11" t="s">
        <v>6</v>
      </c>
      <c r="H2069" s="13">
        <v>-1000</v>
      </c>
      <c r="I2069" s="14">
        <f t="shared" si="76"/>
        <v>8.4652600000000258E-2</v>
      </c>
      <c r="J2069" s="13">
        <f t="shared" si="75"/>
        <v>213223.61000000002</v>
      </c>
    </row>
    <row r="2070" spans="1:10" x14ac:dyDescent="0.25">
      <c r="A2070" s="10">
        <v>41609</v>
      </c>
      <c r="B2070" s="11" t="s">
        <v>2</v>
      </c>
      <c r="C2070" s="11" t="s">
        <v>5</v>
      </c>
      <c r="D2070" s="16" t="str">
        <f>HYPERLINK("https://freddywills.com/pick/1450/colts-3-5.html", "Colts -3.5")</f>
        <v>Colts -3.5</v>
      </c>
      <c r="E2070" s="11">
        <v>5.5</v>
      </c>
      <c r="F2070" s="11">
        <v>-1.1000000000000001</v>
      </c>
      <c r="G2070" s="11" t="s">
        <v>4</v>
      </c>
      <c r="H2070" s="13">
        <v>5000</v>
      </c>
      <c r="I2070" s="14">
        <f t="shared" si="76"/>
        <v>9.4652600000000253E-2</v>
      </c>
      <c r="J2070" s="13">
        <f t="shared" si="75"/>
        <v>214223.61000000002</v>
      </c>
    </row>
    <row r="2071" spans="1:10" x14ac:dyDescent="0.25">
      <c r="A2071" s="10">
        <v>41609</v>
      </c>
      <c r="B2071" s="11" t="s">
        <v>2</v>
      </c>
      <c r="C2071" s="11" t="s">
        <v>7</v>
      </c>
      <c r="D2071" s="16" t="str">
        <f>HYPERLINK("https://freddywills.com/pick/1451/den-kc-u50.html", "DEN/KC U50")</f>
        <v>DEN/KC U50</v>
      </c>
      <c r="E2071" s="11">
        <v>3.3</v>
      </c>
      <c r="F2071" s="11">
        <v>-1.1000000000000001</v>
      </c>
      <c r="G2071" s="11" t="s">
        <v>6</v>
      </c>
      <c r="H2071" s="13">
        <v>-3300</v>
      </c>
      <c r="I2071" s="14">
        <f t="shared" si="76"/>
        <v>4.465260000000025E-2</v>
      </c>
      <c r="J2071" s="13">
        <f t="shared" si="75"/>
        <v>209223.61000000002</v>
      </c>
    </row>
    <row r="2072" spans="1:10" x14ac:dyDescent="0.25">
      <c r="A2072" s="10">
        <v>41609</v>
      </c>
      <c r="B2072" s="11" t="s">
        <v>2</v>
      </c>
      <c r="C2072" s="11" t="s">
        <v>5</v>
      </c>
      <c r="D2072" s="16" t="str">
        <f>HYPERLINK("https://freddywills.com/pick/1452/redskins-1.html", "Redskins +1")</f>
        <v>Redskins +1</v>
      </c>
      <c r="E2072" s="11">
        <v>3.3</v>
      </c>
      <c r="F2072" s="11">
        <v>-1.1000000000000001</v>
      </c>
      <c r="G2072" s="11" t="s">
        <v>6</v>
      </c>
      <c r="H2072" s="13">
        <v>-3300</v>
      </c>
      <c r="I2072" s="14">
        <f t="shared" si="76"/>
        <v>7.7652600000000252E-2</v>
      </c>
      <c r="J2072" s="13">
        <f t="shared" si="75"/>
        <v>212523.61000000002</v>
      </c>
    </row>
    <row r="2073" spans="1:10" x14ac:dyDescent="0.25">
      <c r="A2073" s="10">
        <v>41608</v>
      </c>
      <c r="B2073" s="11" t="s">
        <v>8</v>
      </c>
      <c r="C2073" s="11" t="s">
        <v>5</v>
      </c>
      <c r="D2073" s="16" t="str">
        <f>HYPERLINK("https://freddywills.com/pick/1453/florida-28-5.html", "Florida +28.5")</f>
        <v>Florida +28.5</v>
      </c>
      <c r="E2073" s="11">
        <v>4.4000000000000004</v>
      </c>
      <c r="F2073" s="11">
        <v>-1.1000000000000001</v>
      </c>
      <c r="G2073" s="11" t="s">
        <v>6</v>
      </c>
      <c r="H2073" s="13">
        <v>-4400</v>
      </c>
      <c r="I2073" s="14">
        <f t="shared" si="76"/>
        <v>0.11065260000000025</v>
      </c>
      <c r="J2073" s="13">
        <f t="shared" si="75"/>
        <v>215823.61000000002</v>
      </c>
    </row>
    <row r="2074" spans="1:10" x14ac:dyDescent="0.25">
      <c r="A2074" s="10">
        <v>41608</v>
      </c>
      <c r="B2074" s="11" t="s">
        <v>8</v>
      </c>
      <c r="C2074" s="11" t="s">
        <v>5</v>
      </c>
      <c r="D2074" s="16" t="str">
        <f>HYPERLINK("https://freddywills.com/pick/1454/syracuse-3-120.html", "Syracuse +3 -120")</f>
        <v>Syracuse +3 -120</v>
      </c>
      <c r="E2074" s="11">
        <v>5.5</v>
      </c>
      <c r="F2074" s="11">
        <v>-1.2</v>
      </c>
      <c r="G2074" s="11" t="s">
        <v>4</v>
      </c>
      <c r="H2074" s="13">
        <v>4583.33</v>
      </c>
      <c r="I2074" s="14">
        <f t="shared" si="76"/>
        <v>0.15465260000000025</v>
      </c>
      <c r="J2074" s="13">
        <f t="shared" si="75"/>
        <v>220223.61000000002</v>
      </c>
    </row>
    <row r="2075" spans="1:10" x14ac:dyDescent="0.25">
      <c r="A2075" s="10">
        <v>41608</v>
      </c>
      <c r="B2075" s="11" t="s">
        <v>8</v>
      </c>
      <c r="C2075" s="11" t="s">
        <v>5</v>
      </c>
      <c r="D2075" s="16" t="str">
        <f>HYPERLINK("https://freddywills.com/pick/1455/northwestern-3-120.html", "Northwestern -3 -120")</f>
        <v>Northwestern -3 -120</v>
      </c>
      <c r="E2075" s="11">
        <v>4.5</v>
      </c>
      <c r="F2075" s="11">
        <v>-1.1000000000000001</v>
      </c>
      <c r="G2075" s="11" t="s">
        <v>9</v>
      </c>
      <c r="H2075" s="13">
        <v>0</v>
      </c>
      <c r="I2075" s="14">
        <f t="shared" si="76"/>
        <v>0.10881930000000024</v>
      </c>
      <c r="J2075" s="13">
        <f t="shared" si="75"/>
        <v>215640.28000000003</v>
      </c>
    </row>
    <row r="2076" spans="1:10" x14ac:dyDescent="0.25">
      <c r="A2076" s="10">
        <v>41608</v>
      </c>
      <c r="B2076" s="11" t="s">
        <v>8</v>
      </c>
      <c r="C2076" s="11" t="s">
        <v>7</v>
      </c>
      <c r="D2076" s="16" t="str">
        <f>HYPERLINK("https://freddywills.com/pick/1456/scar-clemson-u58-5.html", "Scar/Clemson U58.5")</f>
        <v>Scar/Clemson U58.5</v>
      </c>
      <c r="E2076" s="11">
        <v>3.3</v>
      </c>
      <c r="F2076" s="11">
        <v>-1.1000000000000001</v>
      </c>
      <c r="G2076" s="11" t="s">
        <v>4</v>
      </c>
      <c r="H2076" s="13">
        <v>3000</v>
      </c>
      <c r="I2076" s="14">
        <f t="shared" si="76"/>
        <v>0.10881930000000024</v>
      </c>
      <c r="J2076" s="13">
        <f t="shared" si="75"/>
        <v>215640.28000000003</v>
      </c>
    </row>
    <row r="2077" spans="1:10" x14ac:dyDescent="0.25">
      <c r="A2077" s="10">
        <v>41608</v>
      </c>
      <c r="B2077" s="11" t="s">
        <v>8</v>
      </c>
      <c r="C2077" s="11" t="s">
        <v>5</v>
      </c>
      <c r="D2077" s="16" t="str">
        <f>HYPERLINK("https://freddywills.com/pick/1457/missouri-3-5.html", "Missouri -3.5")</f>
        <v>Missouri -3.5</v>
      </c>
      <c r="E2077" s="11">
        <v>2.2000000000000002</v>
      </c>
      <c r="F2077" s="11">
        <v>-1.1000000000000001</v>
      </c>
      <c r="G2077" s="11" t="s">
        <v>4</v>
      </c>
      <c r="H2077" s="13">
        <v>2000</v>
      </c>
      <c r="I2077" s="14">
        <f t="shared" si="76"/>
        <v>7.8819300000000245E-2</v>
      </c>
      <c r="J2077" s="13">
        <f t="shared" si="75"/>
        <v>212640.28000000003</v>
      </c>
    </row>
    <row r="2078" spans="1:10" x14ac:dyDescent="0.25">
      <c r="A2078" s="10">
        <v>41608</v>
      </c>
      <c r="B2078" s="11" t="s">
        <v>8</v>
      </c>
      <c r="C2078" s="11" t="s">
        <v>5</v>
      </c>
      <c r="D2078" s="16" t="str">
        <f>HYPERLINK("https://freddywills.com/pick/1458/usc-3-5.html", "USC -3.5")</f>
        <v>USC -3.5</v>
      </c>
      <c r="E2078" s="11">
        <v>3.3</v>
      </c>
      <c r="F2078" s="11">
        <v>-1.1000000000000001</v>
      </c>
      <c r="G2078" s="11" t="s">
        <v>6</v>
      </c>
      <c r="H2078" s="13">
        <v>-3300</v>
      </c>
      <c r="I2078" s="14">
        <f t="shared" si="76"/>
        <v>5.8819300000000241E-2</v>
      </c>
      <c r="J2078" s="13">
        <f t="shared" si="75"/>
        <v>210640.28000000003</v>
      </c>
    </row>
    <row r="2079" spans="1:10" x14ac:dyDescent="0.25">
      <c r="A2079" s="10">
        <v>41607</v>
      </c>
      <c r="B2079" s="11" t="s">
        <v>8</v>
      </c>
      <c r="C2079" s="11" t="s">
        <v>5</v>
      </c>
      <c r="D2079" s="16" t="str">
        <f>HYPERLINK("https://freddywills.com/pick/1459/iowa-3-115.html", "Iowa +3 -115")</f>
        <v>Iowa +3 -115</v>
      </c>
      <c r="E2079" s="11">
        <v>4</v>
      </c>
      <c r="F2079" s="11">
        <v>-1.1499999999999999</v>
      </c>
      <c r="G2079" s="11" t="s">
        <v>4</v>
      </c>
      <c r="H2079" s="13">
        <v>3478.26</v>
      </c>
      <c r="I2079" s="14">
        <f t="shared" si="76"/>
        <v>9.1819300000000242E-2</v>
      </c>
      <c r="J2079" s="13">
        <f t="shared" si="75"/>
        <v>213940.28000000003</v>
      </c>
    </row>
    <row r="2080" spans="1:10" x14ac:dyDescent="0.25">
      <c r="A2080" s="10">
        <v>41607</v>
      </c>
      <c r="B2080" s="11" t="s">
        <v>8</v>
      </c>
      <c r="C2080" s="11" t="s">
        <v>5</v>
      </c>
      <c r="D2080" s="16" t="str">
        <f>HYPERLINK("https://freddywills.com/pick/1460/ecu-3.html", "ECU +3")</f>
        <v>ECU +3</v>
      </c>
      <c r="E2080" s="11">
        <v>2.2000000000000002</v>
      </c>
      <c r="F2080" s="11">
        <v>-1.1000000000000001</v>
      </c>
      <c r="G2080" s="11" t="s">
        <v>6</v>
      </c>
      <c r="H2080" s="13">
        <v>-2200</v>
      </c>
      <c r="I2080" s="14">
        <f t="shared" si="76"/>
        <v>5.7036700000000239E-2</v>
      </c>
      <c r="J2080" s="13">
        <f t="shared" si="75"/>
        <v>210462.02000000002</v>
      </c>
    </row>
    <row r="2081" spans="1:10" x14ac:dyDescent="0.25">
      <c r="A2081" s="10">
        <v>41607</v>
      </c>
      <c r="B2081" s="11" t="s">
        <v>8</v>
      </c>
      <c r="C2081" s="11" t="s">
        <v>7</v>
      </c>
      <c r="D2081" s="16" t="str">
        <f>HYPERLINK("https://freddywills.com/pick/1461/buf-bgreen-u51-5.html", "Buf/Bgreen U51.5")</f>
        <v>Buf/Bgreen U51.5</v>
      </c>
      <c r="E2081" s="11">
        <v>2.2000000000000002</v>
      </c>
      <c r="F2081" s="11">
        <v>-1.1000000000000001</v>
      </c>
      <c r="G2081" s="11" t="s">
        <v>4</v>
      </c>
      <c r="H2081" s="13">
        <v>2000</v>
      </c>
      <c r="I2081" s="14">
        <f t="shared" si="76"/>
        <v>7.9036700000000237E-2</v>
      </c>
      <c r="J2081" s="13">
        <f t="shared" si="75"/>
        <v>212662.02000000002</v>
      </c>
    </row>
    <row r="2082" spans="1:10" x14ac:dyDescent="0.25">
      <c r="A2082" s="10">
        <v>41607</v>
      </c>
      <c r="B2082" s="11" t="s">
        <v>8</v>
      </c>
      <c r="C2082" s="11" t="s">
        <v>18</v>
      </c>
      <c r="D2082" s="16" t="str">
        <f>HYPERLINK("https://freddywills.com/pick/1462/buffalo-130.html", "Buffalo +130")</f>
        <v>Buffalo +130</v>
      </c>
      <c r="E2082" s="11">
        <v>5.5</v>
      </c>
      <c r="F2082" s="11">
        <v>1.3</v>
      </c>
      <c r="G2082" s="11" t="s">
        <v>6</v>
      </c>
      <c r="H2082" s="13">
        <v>-5500</v>
      </c>
      <c r="I2082" s="14">
        <f t="shared" si="76"/>
        <v>5.903670000000024E-2</v>
      </c>
      <c r="J2082" s="13">
        <f t="shared" si="75"/>
        <v>210662.02000000002</v>
      </c>
    </row>
    <row r="2083" spans="1:10" x14ac:dyDescent="0.25">
      <c r="A2083" s="10">
        <v>41607</v>
      </c>
      <c r="B2083" s="11" t="s">
        <v>8</v>
      </c>
      <c r="C2083" s="11" t="s">
        <v>5</v>
      </c>
      <c r="D2083" s="16" t="str">
        <f>HYPERLINK("https://freddywills.com/pick/1463/oregon-23.html", "Oregon -23")</f>
        <v>Oregon -23</v>
      </c>
      <c r="E2083" s="11">
        <v>3.3</v>
      </c>
      <c r="F2083" s="11">
        <v>-1.1000000000000001</v>
      </c>
      <c r="G2083" s="11" t="s">
        <v>6</v>
      </c>
      <c r="H2083" s="13">
        <v>-3300</v>
      </c>
      <c r="I2083" s="14">
        <f t="shared" si="76"/>
        <v>0.11403670000000024</v>
      </c>
      <c r="J2083" s="13">
        <f t="shared" si="75"/>
        <v>216162.02000000002</v>
      </c>
    </row>
    <row r="2084" spans="1:10" x14ac:dyDescent="0.25">
      <c r="A2084" s="10">
        <v>41606</v>
      </c>
      <c r="B2084" s="11" t="s">
        <v>8</v>
      </c>
      <c r="C2084" s="11" t="s">
        <v>5</v>
      </c>
      <c r="D2084" s="16" t="str">
        <f>HYPERLINK("https://freddywills.com/pick/1464/texas-4.html", "Texas -4")</f>
        <v>Texas -4</v>
      </c>
      <c r="E2084" s="11">
        <v>3.3</v>
      </c>
      <c r="F2084" s="11">
        <v>-1.1000000000000001</v>
      </c>
      <c r="G2084" s="11" t="s">
        <v>4</v>
      </c>
      <c r="H2084" s="13">
        <v>3000</v>
      </c>
      <c r="I2084" s="14">
        <f t="shared" si="76"/>
        <v>0.14703670000000024</v>
      </c>
      <c r="J2084" s="13">
        <f t="shared" si="75"/>
        <v>219462.02000000002</v>
      </c>
    </row>
    <row r="2085" spans="1:10" x14ac:dyDescent="0.25">
      <c r="A2085" s="10">
        <v>41606</v>
      </c>
      <c r="B2085" s="11" t="s">
        <v>8</v>
      </c>
      <c r="C2085" s="11" t="s">
        <v>5</v>
      </c>
      <c r="D2085" s="16" t="str">
        <f>HYPERLINK("https://freddywills.com/pick/1465/miss-st-4-5.html", "Miss St +4.5")</f>
        <v>Miss St +4.5</v>
      </c>
      <c r="E2085" s="11">
        <v>5.5</v>
      </c>
      <c r="F2085" s="11">
        <v>-1.1000000000000001</v>
      </c>
      <c r="G2085" s="11" t="s">
        <v>4</v>
      </c>
      <c r="H2085" s="13">
        <v>5000</v>
      </c>
      <c r="I2085" s="14">
        <f t="shared" si="76"/>
        <v>0.11703670000000026</v>
      </c>
      <c r="J2085" s="13">
        <f t="shared" si="75"/>
        <v>216462.02000000002</v>
      </c>
    </row>
    <row r="2086" spans="1:10" x14ac:dyDescent="0.25">
      <c r="A2086" s="10">
        <v>41606</v>
      </c>
      <c r="B2086" s="11" t="s">
        <v>2</v>
      </c>
      <c r="C2086" s="11" t="s">
        <v>5</v>
      </c>
      <c r="D2086" s="16" t="str">
        <f>HYPERLINK("https://freddywills.com/pick/1466/lions-6-5.html", "Lions -6.5")</f>
        <v>Lions -6.5</v>
      </c>
      <c r="E2086" s="11">
        <v>1.1000000000000001</v>
      </c>
      <c r="F2086" s="11">
        <v>-1.1000000000000001</v>
      </c>
      <c r="G2086" s="11" t="s">
        <v>4</v>
      </c>
      <c r="H2086" s="13">
        <v>1000</v>
      </c>
      <c r="I2086" s="14">
        <f t="shared" si="76"/>
        <v>6.7036700000000254E-2</v>
      </c>
      <c r="J2086" s="13">
        <f t="shared" si="75"/>
        <v>211462.02000000002</v>
      </c>
    </row>
    <row r="2087" spans="1:10" x14ac:dyDescent="0.25">
      <c r="A2087" s="10">
        <v>41606</v>
      </c>
      <c r="B2087" s="11" t="s">
        <v>2</v>
      </c>
      <c r="C2087" s="11" t="s">
        <v>7</v>
      </c>
      <c r="D2087" s="16" t="str">
        <f>HYPERLINK("https://freddywills.com/pick/1467/raiders-cowboys-o47.html", "Raiders/Cowboys O47")</f>
        <v>Raiders/Cowboys O47</v>
      </c>
      <c r="E2087" s="11">
        <v>5.5</v>
      </c>
      <c r="F2087" s="11">
        <v>-1.1000000000000001</v>
      </c>
      <c r="G2087" s="11" t="s">
        <v>4</v>
      </c>
      <c r="H2087" s="13">
        <v>5000</v>
      </c>
      <c r="I2087" s="14">
        <f t="shared" si="76"/>
        <v>5.7036700000000252E-2</v>
      </c>
      <c r="J2087" s="13">
        <f t="shared" si="75"/>
        <v>210462.02000000002</v>
      </c>
    </row>
    <row r="2088" spans="1:10" x14ac:dyDescent="0.25">
      <c r="A2088" s="10">
        <v>41606</v>
      </c>
      <c r="B2088" s="11" t="s">
        <v>2</v>
      </c>
      <c r="C2088" s="11" t="s">
        <v>10</v>
      </c>
      <c r="D2088" s="16" t="str">
        <f>HYPERLINK("https://freddywills.com/pick/1468/lions-0-5-steelers-8-5.html", "Lions -0.5 / Steelers +8.5")</f>
        <v>Lions -0.5 / Steelers +8.5</v>
      </c>
      <c r="E2088" s="11">
        <v>3.3</v>
      </c>
      <c r="F2088" s="11">
        <v>-1.1000000000000001</v>
      </c>
      <c r="G2088" s="11" t="s">
        <v>4</v>
      </c>
      <c r="H2088" s="13">
        <v>3000</v>
      </c>
      <c r="I2088" s="14">
        <f t="shared" si="76"/>
        <v>7.0367000000002497E-3</v>
      </c>
      <c r="J2088" s="13">
        <f t="shared" si="75"/>
        <v>205462.02000000002</v>
      </c>
    </row>
    <row r="2089" spans="1:10" x14ac:dyDescent="0.25">
      <c r="A2089" s="10">
        <v>41603</v>
      </c>
      <c r="B2089" s="11" t="s">
        <v>2</v>
      </c>
      <c r="C2089" s="11" t="s">
        <v>5</v>
      </c>
      <c r="D2089" s="16" t="str">
        <f>HYPERLINK("https://freddywills.com/pick/1471/redskins-6.html", "Redskins +6")</f>
        <v>Redskins +6</v>
      </c>
      <c r="E2089" s="11">
        <v>3.3</v>
      </c>
      <c r="F2089" s="11">
        <v>-1.1000000000000001</v>
      </c>
      <c r="G2089" s="11" t="s">
        <v>6</v>
      </c>
      <c r="H2089" s="13">
        <v>-3300</v>
      </c>
      <c r="I2089" s="14">
        <f t="shared" si="76"/>
        <v>-2.2963299999999749E-2</v>
      </c>
      <c r="J2089" s="13">
        <f t="shared" si="75"/>
        <v>202462.02000000002</v>
      </c>
    </row>
    <row r="2090" spans="1:10" x14ac:dyDescent="0.25">
      <c r="A2090" s="10">
        <v>41602</v>
      </c>
      <c r="B2090" s="11" t="s">
        <v>2</v>
      </c>
      <c r="C2090" s="11" t="s">
        <v>5</v>
      </c>
      <c r="D2090" s="16" t="str">
        <f>HYPERLINK("https://freddywills.com/pick/1472/cardinals-3.html", "Cardinals -3")</f>
        <v>Cardinals -3</v>
      </c>
      <c r="E2090" s="11">
        <v>1.1000000000000001</v>
      </c>
      <c r="F2090" s="11">
        <v>-1.1000000000000001</v>
      </c>
      <c r="G2090" s="11" t="s">
        <v>4</v>
      </c>
      <c r="H2090" s="13">
        <v>1000</v>
      </c>
      <c r="I2090" s="14">
        <f t="shared" si="76"/>
        <v>1.0036700000000251E-2</v>
      </c>
      <c r="J2090" s="13">
        <f t="shared" si="75"/>
        <v>205762.02000000002</v>
      </c>
    </row>
    <row r="2091" spans="1:10" x14ac:dyDescent="0.25">
      <c r="A2091" s="10">
        <v>41602</v>
      </c>
      <c r="B2091" s="11" t="s">
        <v>2</v>
      </c>
      <c r="C2091" s="11" t="s">
        <v>5</v>
      </c>
      <c r="D2091" s="16" t="str">
        <f>HYPERLINK("https://freddywills.com/pick/1473/browns-2.html", "Browns -2")</f>
        <v>Browns -2</v>
      </c>
      <c r="E2091" s="11">
        <v>3.3</v>
      </c>
      <c r="F2091" s="11">
        <v>-1.1000000000000001</v>
      </c>
      <c r="G2091" s="11" t="s">
        <v>6</v>
      </c>
      <c r="H2091" s="13">
        <v>-3300</v>
      </c>
      <c r="I2091" s="14">
        <f t="shared" si="76"/>
        <v>3.6700000000250421E-5</v>
      </c>
      <c r="J2091" s="13">
        <f t="shared" si="75"/>
        <v>204762.02000000002</v>
      </c>
    </row>
    <row r="2092" spans="1:10" x14ac:dyDescent="0.25">
      <c r="A2092" s="10">
        <v>41602</v>
      </c>
      <c r="B2092" s="11" t="s">
        <v>2</v>
      </c>
      <c r="C2092" s="11" t="s">
        <v>5</v>
      </c>
      <c r="D2092" s="16" t="str">
        <f>HYPERLINK("https://freddywills.com/pick/1474/chargers-4.html", "Chargers +4")</f>
        <v>Chargers +4</v>
      </c>
      <c r="E2092" s="11">
        <v>3.3</v>
      </c>
      <c r="F2092" s="11">
        <v>-1.1000000000000001</v>
      </c>
      <c r="G2092" s="11" t="s">
        <v>4</v>
      </c>
      <c r="H2092" s="13">
        <v>3000</v>
      </c>
      <c r="I2092" s="14">
        <f t="shared" si="76"/>
        <v>3.3036700000000252E-2</v>
      </c>
      <c r="J2092" s="13">
        <f t="shared" si="75"/>
        <v>208062.02000000002</v>
      </c>
    </row>
    <row r="2093" spans="1:10" x14ac:dyDescent="0.25">
      <c r="A2093" s="10">
        <v>41602</v>
      </c>
      <c r="B2093" s="11" t="s">
        <v>2</v>
      </c>
      <c r="C2093" s="11" t="s">
        <v>18</v>
      </c>
      <c r="D2093" s="16" t="str">
        <f>HYPERLINK("https://freddywills.com/pick/1475/patriots-117.html", "Patriots +117")</f>
        <v>Patriots +117</v>
      </c>
      <c r="E2093" s="11">
        <v>5.5</v>
      </c>
      <c r="F2093" s="11">
        <v>1.17</v>
      </c>
      <c r="G2093" s="11" t="s">
        <v>4</v>
      </c>
      <c r="H2093" s="13">
        <v>6435</v>
      </c>
      <c r="I2093" s="14">
        <f t="shared" si="76"/>
        <v>3.0367000000002531E-3</v>
      </c>
      <c r="J2093" s="13">
        <f t="shared" si="75"/>
        <v>205062.02000000002</v>
      </c>
    </row>
    <row r="2094" spans="1:10" x14ac:dyDescent="0.25">
      <c r="A2094" s="10">
        <v>41601</v>
      </c>
      <c r="B2094" s="11" t="s">
        <v>8</v>
      </c>
      <c r="C2094" s="11" t="s">
        <v>5</v>
      </c>
      <c r="D2094" s="16" t="str">
        <f>HYPERLINK("https://freddywills.com/pick/1476/missouri-2.html", "Missouri -2")</f>
        <v>Missouri -2</v>
      </c>
      <c r="E2094" s="11">
        <v>3.3</v>
      </c>
      <c r="F2094" s="11">
        <v>-1.1000000000000001</v>
      </c>
      <c r="G2094" s="11" t="s">
        <v>4</v>
      </c>
      <c r="H2094" s="13">
        <v>3000</v>
      </c>
      <c r="I2094" s="14">
        <f t="shared" si="76"/>
        <v>-6.1313299999999751E-2</v>
      </c>
      <c r="J2094" s="13">
        <f t="shared" si="75"/>
        <v>198627.02000000002</v>
      </c>
    </row>
    <row r="2095" spans="1:10" x14ac:dyDescent="0.25">
      <c r="A2095" s="10">
        <v>41601</v>
      </c>
      <c r="B2095" s="11" t="s">
        <v>8</v>
      </c>
      <c r="C2095" s="11" t="s">
        <v>5</v>
      </c>
      <c r="D2095" s="16" t="str">
        <f>HYPERLINK("https://freddywills.com/pick/1477/arizona-state-1-5.html", "Arizona State -1.5")</f>
        <v>Arizona State -1.5</v>
      </c>
      <c r="E2095" s="11">
        <v>5.5</v>
      </c>
      <c r="F2095" s="11">
        <v>-1.1000000000000001</v>
      </c>
      <c r="G2095" s="11" t="s">
        <v>4</v>
      </c>
      <c r="H2095" s="13">
        <v>5000</v>
      </c>
      <c r="I2095" s="14">
        <f t="shared" si="76"/>
        <v>-9.131329999999975E-2</v>
      </c>
      <c r="J2095" s="13">
        <f t="shared" si="75"/>
        <v>195627.02000000002</v>
      </c>
    </row>
    <row r="2096" spans="1:10" x14ac:dyDescent="0.25">
      <c r="A2096" s="10">
        <v>41601</v>
      </c>
      <c r="B2096" s="11" t="s">
        <v>8</v>
      </c>
      <c r="C2096" s="11" t="s">
        <v>5</v>
      </c>
      <c r="D2096" s="16" t="str">
        <f>HYPERLINK("https://freddywills.com/pick/1478/boston-college-pk.html", "Boston College pk")</f>
        <v>Boston College pk</v>
      </c>
      <c r="E2096" s="11">
        <v>3.3</v>
      </c>
      <c r="F2096" s="11">
        <v>-1.1000000000000001</v>
      </c>
      <c r="G2096" s="11" t="s">
        <v>4</v>
      </c>
      <c r="H2096" s="13">
        <v>3000</v>
      </c>
      <c r="I2096" s="14">
        <f t="shared" si="76"/>
        <v>-0.14131329999999975</v>
      </c>
      <c r="J2096" s="13">
        <f t="shared" si="75"/>
        <v>190627.02000000002</v>
      </c>
    </row>
    <row r="2097" spans="1:10" x14ac:dyDescent="0.25">
      <c r="A2097" s="10">
        <v>41601</v>
      </c>
      <c r="B2097" s="11" t="s">
        <v>8</v>
      </c>
      <c r="C2097" s="11" t="s">
        <v>5</v>
      </c>
      <c r="D2097" s="16" t="str">
        <f>HYPERLINK("https://freddywills.com/pick/1479/nc-state-6.html", "NC State +6")</f>
        <v>NC State +6</v>
      </c>
      <c r="E2097" s="11">
        <v>2.2000000000000002</v>
      </c>
      <c r="F2097" s="11">
        <v>-1.1000000000000001</v>
      </c>
      <c r="G2097" s="11" t="s">
        <v>6</v>
      </c>
      <c r="H2097" s="13">
        <v>-2200</v>
      </c>
      <c r="I2097" s="14">
        <f t="shared" si="76"/>
        <v>-0.17131329999999975</v>
      </c>
      <c r="J2097" s="13">
        <f t="shared" si="75"/>
        <v>187627.02000000002</v>
      </c>
    </row>
    <row r="2098" spans="1:10" x14ac:dyDescent="0.25">
      <c r="A2098" s="10">
        <v>41601</v>
      </c>
      <c r="B2098" s="11" t="s">
        <v>8</v>
      </c>
      <c r="C2098" s="11" t="s">
        <v>5</v>
      </c>
      <c r="D2098" s="16" t="str">
        <f>HYPERLINK("https://freddywills.com/pick/1480/northwestern-7-5.html", "Northwestern +7.5")</f>
        <v>Northwestern +7.5</v>
      </c>
      <c r="E2098" s="11">
        <v>1.1000000000000001</v>
      </c>
      <c r="F2098" s="11">
        <v>-1.1000000000000001</v>
      </c>
      <c r="G2098" s="11" t="s">
        <v>6</v>
      </c>
      <c r="H2098" s="13">
        <v>-1100</v>
      </c>
      <c r="I2098" s="14">
        <f t="shared" si="76"/>
        <v>-0.14931329999999976</v>
      </c>
      <c r="J2098" s="13">
        <f t="shared" si="75"/>
        <v>189827.02000000002</v>
      </c>
    </row>
    <row r="2099" spans="1:10" x14ac:dyDescent="0.25">
      <c r="A2099" s="10">
        <v>41601</v>
      </c>
      <c r="B2099" s="11" t="s">
        <v>8</v>
      </c>
      <c r="C2099" s="11" t="s">
        <v>18</v>
      </c>
      <c r="D2099" s="16" t="str">
        <f>HYPERLINK("https://freddywills.com/pick/1481/okl-st-290.html", "Okl St +290")</f>
        <v>Okl St +290</v>
      </c>
      <c r="E2099" s="11">
        <v>1</v>
      </c>
      <c r="F2099" s="11">
        <v>2.9</v>
      </c>
      <c r="G2099" s="11" t="s">
        <v>4</v>
      </c>
      <c r="H2099" s="13">
        <v>2900</v>
      </c>
      <c r="I2099" s="14">
        <f t="shared" si="76"/>
        <v>-0.13831329999999975</v>
      </c>
      <c r="J2099" s="13">
        <f t="shared" si="75"/>
        <v>190927.02000000002</v>
      </c>
    </row>
    <row r="2100" spans="1:10" x14ac:dyDescent="0.25">
      <c r="A2100" s="10">
        <v>41601</v>
      </c>
      <c r="B2100" s="11" t="s">
        <v>8</v>
      </c>
      <c r="C2100" s="11" t="s">
        <v>5</v>
      </c>
      <c r="D2100" s="16" t="str">
        <f>HYPERLINK("https://freddywills.com/pick/1482/okl-st-10.html", "Okl St +10")</f>
        <v>Okl St +10</v>
      </c>
      <c r="E2100" s="11">
        <v>4.4000000000000004</v>
      </c>
      <c r="F2100" s="11">
        <v>-1.1000000000000001</v>
      </c>
      <c r="G2100" s="11" t="s">
        <v>4</v>
      </c>
      <c r="H2100" s="13">
        <v>4000</v>
      </c>
      <c r="I2100" s="14">
        <f t="shared" si="76"/>
        <v>-0.16731329999999975</v>
      </c>
      <c r="J2100" s="13">
        <f t="shared" si="75"/>
        <v>188027.02000000002</v>
      </c>
    </row>
    <row r="2101" spans="1:10" x14ac:dyDescent="0.25">
      <c r="A2101" s="10">
        <v>41601</v>
      </c>
      <c r="B2101" s="11" t="s">
        <v>8</v>
      </c>
      <c r="C2101" s="11" t="s">
        <v>7</v>
      </c>
      <c r="D2101" s="16" t="str">
        <f>HYPERLINK("https://freddywills.com/pick/1483/okl-st-baylor-u78.html", "Okl St/Baylor U78")</f>
        <v>Okl St/Baylor U78</v>
      </c>
      <c r="E2101" s="11">
        <v>2.2000000000000002</v>
      </c>
      <c r="F2101" s="11">
        <v>-1.1000000000000001</v>
      </c>
      <c r="G2101" s="11" t="s">
        <v>4</v>
      </c>
      <c r="H2101" s="13">
        <v>2000</v>
      </c>
      <c r="I2101" s="14">
        <f t="shared" si="76"/>
        <v>-0.20731329999999976</v>
      </c>
      <c r="J2101" s="13">
        <f t="shared" si="75"/>
        <v>184027.02000000002</v>
      </c>
    </row>
    <row r="2102" spans="1:10" x14ac:dyDescent="0.25">
      <c r="A2102" s="10">
        <v>41600</v>
      </c>
      <c r="B2102" s="11" t="s">
        <v>8</v>
      </c>
      <c r="C2102" s="11" t="s">
        <v>5</v>
      </c>
      <c r="D2102" s="16" t="str">
        <f>HYPERLINK("https://freddywills.com/pick/1484/navy-3-115.html", "Navy +3 -115")</f>
        <v>Navy +3 -115</v>
      </c>
      <c r="E2102" s="11">
        <v>3.5</v>
      </c>
      <c r="F2102" s="11">
        <v>-1.1499999999999999</v>
      </c>
      <c r="G2102" s="11" t="s">
        <v>4</v>
      </c>
      <c r="H2102" s="13">
        <v>3043.48</v>
      </c>
      <c r="I2102" s="14">
        <f t="shared" si="76"/>
        <v>-0.22731329999999975</v>
      </c>
      <c r="J2102" s="13">
        <f t="shared" si="75"/>
        <v>182027.02000000002</v>
      </c>
    </row>
    <row r="2103" spans="1:10" x14ac:dyDescent="0.25">
      <c r="A2103" s="10">
        <v>41599</v>
      </c>
      <c r="B2103" s="11" t="s">
        <v>8</v>
      </c>
      <c r="C2103" s="11" t="s">
        <v>18</v>
      </c>
      <c r="D2103" s="16" t="str">
        <f>HYPERLINK("https://freddywills.com/pick/1485/unlv-120.html", "UNLV +120")</f>
        <v>UNLV +120</v>
      </c>
      <c r="E2103" s="11">
        <v>3</v>
      </c>
      <c r="F2103" s="11">
        <v>1.2</v>
      </c>
      <c r="G2103" s="11" t="s">
        <v>4</v>
      </c>
      <c r="H2103" s="13">
        <v>3600</v>
      </c>
      <c r="I2103" s="14">
        <f t="shared" si="76"/>
        <v>-0.25774809999999976</v>
      </c>
      <c r="J2103" s="13">
        <f t="shared" si="75"/>
        <v>178983.54</v>
      </c>
    </row>
    <row r="2104" spans="1:10" x14ac:dyDescent="0.25">
      <c r="A2104" s="10">
        <v>41598</v>
      </c>
      <c r="B2104" s="11" t="s">
        <v>2</v>
      </c>
      <c r="C2104" s="11" t="s">
        <v>5</v>
      </c>
      <c r="D2104" s="16" t="str">
        <f>HYPERLINK("https://freddywills.com/pick/1486/falcons-10.html", "Falcons +10")</f>
        <v>Falcons +10</v>
      </c>
      <c r="E2104" s="11">
        <v>3.3</v>
      </c>
      <c r="F2104" s="11">
        <v>-1.1000000000000001</v>
      </c>
      <c r="G2104" s="11" t="s">
        <v>4</v>
      </c>
      <c r="H2104" s="13">
        <v>3000</v>
      </c>
      <c r="I2104" s="14">
        <f t="shared" si="76"/>
        <v>-0.29374809999999973</v>
      </c>
      <c r="J2104" s="13">
        <f t="shared" si="75"/>
        <v>175383.54</v>
      </c>
    </row>
    <row r="2105" spans="1:10" x14ac:dyDescent="0.25">
      <c r="A2105" s="10">
        <v>41597</v>
      </c>
      <c r="B2105" s="11" t="s">
        <v>8</v>
      </c>
      <c r="C2105" s="11" t="s">
        <v>5</v>
      </c>
      <c r="D2105" s="16" t="str">
        <f>HYPERLINK("https://freddywills.com/pick/1487/ohio-6-5.html", "Ohio -6.5")</f>
        <v>Ohio -6.5</v>
      </c>
      <c r="E2105" s="11">
        <v>2.2000000000000002</v>
      </c>
      <c r="F2105" s="11">
        <v>-1.1000000000000001</v>
      </c>
      <c r="G2105" s="11" t="s">
        <v>6</v>
      </c>
      <c r="H2105" s="13">
        <v>-2200</v>
      </c>
      <c r="I2105" s="14">
        <f t="shared" si="76"/>
        <v>-0.32374809999999976</v>
      </c>
      <c r="J2105" s="13">
        <f t="shared" si="75"/>
        <v>172383.54</v>
      </c>
    </row>
    <row r="2106" spans="1:10" x14ac:dyDescent="0.25">
      <c r="A2106" s="10">
        <v>41596</v>
      </c>
      <c r="B2106" s="11" t="s">
        <v>2</v>
      </c>
      <c r="C2106" s="11" t="s">
        <v>5</v>
      </c>
      <c r="D2106" s="16" t="str">
        <f>HYPERLINK("https://freddywills.com/pick/1488/patriots-3.html", "Patriots +3")</f>
        <v>Patriots +3</v>
      </c>
      <c r="E2106" s="11">
        <v>4.4000000000000004</v>
      </c>
      <c r="F2106" s="11">
        <v>-1.1000000000000001</v>
      </c>
      <c r="G2106" s="11" t="s">
        <v>6</v>
      </c>
      <c r="H2106" s="13">
        <v>-4400</v>
      </c>
      <c r="I2106" s="14">
        <f t="shared" si="76"/>
        <v>-0.30174809999999974</v>
      </c>
      <c r="J2106" s="13">
        <f t="shared" si="75"/>
        <v>174583.54</v>
      </c>
    </row>
    <row r="2107" spans="1:10" x14ac:dyDescent="0.25">
      <c r="A2107" s="10">
        <v>41595</v>
      </c>
      <c r="B2107" s="11" t="s">
        <v>2</v>
      </c>
      <c r="C2107" s="11" t="s">
        <v>10</v>
      </c>
      <c r="D2107" s="16" t="str">
        <f>HYPERLINK("https://freddywills.com/pick/1489/texans-3-5-broncos-1-5.html", "Texans -3.5 /Broncos -1.5")</f>
        <v>Texans -3.5 /Broncos -1.5</v>
      </c>
      <c r="E2107" s="11">
        <v>3.3</v>
      </c>
      <c r="F2107" s="11">
        <v>-1.1000000000000001</v>
      </c>
      <c r="G2107" s="11" t="s">
        <v>6</v>
      </c>
      <c r="H2107" s="13">
        <v>-3300</v>
      </c>
      <c r="I2107" s="14">
        <f t="shared" si="76"/>
        <v>-0.25774809999999976</v>
      </c>
      <c r="J2107" s="13">
        <f t="shared" si="75"/>
        <v>178983.54</v>
      </c>
    </row>
    <row r="2108" spans="1:10" x14ac:dyDescent="0.25">
      <c r="A2108" s="10">
        <v>41595</v>
      </c>
      <c r="B2108" s="11" t="s">
        <v>2</v>
      </c>
      <c r="C2108" s="11" t="s">
        <v>5</v>
      </c>
      <c r="D2108" s="16" t="str">
        <f>HYPERLINK("https://freddywills.com/pick/1490/steelers-3.html", "Steelers +3")</f>
        <v>Steelers +3</v>
      </c>
      <c r="E2108" s="11">
        <v>3.3</v>
      </c>
      <c r="F2108" s="11">
        <v>-1.1000000000000001</v>
      </c>
      <c r="G2108" s="11" t="s">
        <v>4</v>
      </c>
      <c r="H2108" s="13">
        <v>3000</v>
      </c>
      <c r="I2108" s="14">
        <f t="shared" si="76"/>
        <v>-0.22474809999999976</v>
      </c>
      <c r="J2108" s="13">
        <f t="shared" ref="J2108:J2171" si="77">H2108+J2109</f>
        <v>182283.54</v>
      </c>
    </row>
    <row r="2109" spans="1:10" x14ac:dyDescent="0.25">
      <c r="A2109" s="10">
        <v>41595</v>
      </c>
      <c r="B2109" s="11" t="s">
        <v>2</v>
      </c>
      <c r="C2109" s="11" t="s">
        <v>5</v>
      </c>
      <c r="D2109" s="16" t="str">
        <f>HYPERLINK("https://freddywills.com/pick/1491/49ers-3-5.html", "49ers +3.5")</f>
        <v>49ers +3.5</v>
      </c>
      <c r="E2109" s="11">
        <v>5.5</v>
      </c>
      <c r="F2109" s="11">
        <v>-1.1000000000000001</v>
      </c>
      <c r="G2109" s="11" t="s">
        <v>4</v>
      </c>
      <c r="H2109" s="13">
        <v>5000</v>
      </c>
      <c r="I2109" s="14">
        <f t="shared" si="76"/>
        <v>-0.25474809999999976</v>
      </c>
      <c r="J2109" s="13">
        <f t="shared" si="77"/>
        <v>179283.54</v>
      </c>
    </row>
    <row r="2110" spans="1:10" x14ac:dyDescent="0.25">
      <c r="A2110" s="10">
        <v>41594</v>
      </c>
      <c r="B2110" s="11" t="s">
        <v>8</v>
      </c>
      <c r="C2110" s="11" t="s">
        <v>5</v>
      </c>
      <c r="D2110" s="16" t="str">
        <f>HYPERLINK("https://freddywills.com/pick/1492/usc-4-5.html", "USC +4.5")</f>
        <v>USC +4.5</v>
      </c>
      <c r="E2110" s="11">
        <v>2.75</v>
      </c>
      <c r="F2110" s="11">
        <v>-1.1000000000000001</v>
      </c>
      <c r="G2110" s="11" t="s">
        <v>4</v>
      </c>
      <c r="H2110" s="13">
        <v>2500</v>
      </c>
      <c r="I2110" s="14">
        <f t="shared" si="76"/>
        <v>-0.30474809999999974</v>
      </c>
      <c r="J2110" s="13">
        <f t="shared" si="77"/>
        <v>174283.54</v>
      </c>
    </row>
    <row r="2111" spans="1:10" x14ac:dyDescent="0.25">
      <c r="A2111" s="10">
        <v>41594</v>
      </c>
      <c r="B2111" s="11" t="s">
        <v>8</v>
      </c>
      <c r="C2111" s="11" t="s">
        <v>18</v>
      </c>
      <c r="D2111" s="16" t="str">
        <f>HYPERLINK("https://freddywills.com/pick/1493/unc-100.html", "UNC +100")</f>
        <v>UNC +100</v>
      </c>
      <c r="E2111" s="11">
        <v>3</v>
      </c>
      <c r="F2111" s="11">
        <v>1</v>
      </c>
      <c r="G2111" s="11" t="s">
        <v>4</v>
      </c>
      <c r="H2111" s="13">
        <v>3000</v>
      </c>
      <c r="I2111" s="14">
        <f t="shared" si="76"/>
        <v>-0.32974809999999977</v>
      </c>
      <c r="J2111" s="13">
        <f t="shared" si="77"/>
        <v>171783.54</v>
      </c>
    </row>
    <row r="2112" spans="1:10" x14ac:dyDescent="0.25">
      <c r="A2112" s="10">
        <v>41594</v>
      </c>
      <c r="B2112" s="11" t="s">
        <v>8</v>
      </c>
      <c r="C2112" s="11" t="s">
        <v>5</v>
      </c>
      <c r="D2112" s="16" t="str">
        <f>HYPERLINK("https://freddywills.com/pick/1494/georgia-4-5.html", "Georgia +4.5")</f>
        <v>Georgia +4.5</v>
      </c>
      <c r="E2112" s="11">
        <v>5.5</v>
      </c>
      <c r="F2112" s="11">
        <v>-1.1000000000000001</v>
      </c>
      <c r="G2112" s="11" t="s">
        <v>6</v>
      </c>
      <c r="H2112" s="13">
        <v>-5500</v>
      </c>
      <c r="I2112" s="14">
        <f t="shared" si="76"/>
        <v>-0.35974809999999979</v>
      </c>
      <c r="J2112" s="13">
        <f t="shared" si="77"/>
        <v>168783.54</v>
      </c>
    </row>
    <row r="2113" spans="1:10" x14ac:dyDescent="0.25">
      <c r="A2113" s="10">
        <v>41594</v>
      </c>
      <c r="B2113" s="11" t="s">
        <v>8</v>
      </c>
      <c r="C2113" s="11" t="s">
        <v>18</v>
      </c>
      <c r="D2113" s="16" t="str">
        <f>HYPERLINK("https://freddywills.com/pick/1495/georgia-150.html", "Georgia +150")</f>
        <v>Georgia +150</v>
      </c>
      <c r="E2113" s="11">
        <v>2</v>
      </c>
      <c r="F2113" s="11">
        <v>1.5</v>
      </c>
      <c r="G2113" s="11" t="s">
        <v>6</v>
      </c>
      <c r="H2113" s="13">
        <v>-2000</v>
      </c>
      <c r="I2113" s="14">
        <f t="shared" si="76"/>
        <v>-0.3047480999999998</v>
      </c>
      <c r="J2113" s="13">
        <f t="shared" si="77"/>
        <v>174283.54</v>
      </c>
    </row>
    <row r="2114" spans="1:10" x14ac:dyDescent="0.25">
      <c r="A2114" s="10">
        <v>41594</v>
      </c>
      <c r="B2114" s="11" t="s">
        <v>8</v>
      </c>
      <c r="C2114" s="11" t="s">
        <v>5</v>
      </c>
      <c r="D2114" s="16" t="str">
        <f>HYPERLINK("https://freddywills.com/pick/1496/oklahoma-st-3-105.html", "Oklahoma St -3 +105")</f>
        <v>Oklahoma St -3 +105</v>
      </c>
      <c r="E2114" s="11">
        <v>4.5</v>
      </c>
      <c r="F2114" s="11">
        <v>1.05</v>
      </c>
      <c r="G2114" s="11" t="s">
        <v>4</v>
      </c>
      <c r="H2114" s="13">
        <v>4725</v>
      </c>
      <c r="I2114" s="14">
        <f t="shared" si="76"/>
        <v>-0.28474809999999978</v>
      </c>
      <c r="J2114" s="13">
        <f t="shared" si="77"/>
        <v>176283.54</v>
      </c>
    </row>
    <row r="2115" spans="1:10" x14ac:dyDescent="0.25">
      <c r="A2115" s="10">
        <v>41594</v>
      </c>
      <c r="B2115" s="11" t="s">
        <v>8</v>
      </c>
      <c r="C2115" s="11" t="s">
        <v>5</v>
      </c>
      <c r="D2115" s="16" t="str">
        <f>HYPERLINK("https://freddywills.com/pick/1497/miami-3.html", "Miami -3")</f>
        <v>Miami -3</v>
      </c>
      <c r="E2115" s="11">
        <v>4.5</v>
      </c>
      <c r="F2115" s="11">
        <v>-1.1000000000000001</v>
      </c>
      <c r="G2115" s="11" t="s">
        <v>6</v>
      </c>
      <c r="H2115" s="13">
        <v>-4500</v>
      </c>
      <c r="I2115" s="14">
        <f t="shared" si="76"/>
        <v>-0.3319980999999998</v>
      </c>
      <c r="J2115" s="13">
        <f t="shared" si="77"/>
        <v>171558.54</v>
      </c>
    </row>
    <row r="2116" spans="1:10" x14ac:dyDescent="0.25">
      <c r="A2116" s="10">
        <v>41594</v>
      </c>
      <c r="B2116" s="11" t="s">
        <v>8</v>
      </c>
      <c r="C2116" s="11" t="s">
        <v>5</v>
      </c>
      <c r="D2116" s="16" t="str">
        <f>HYPERLINK("https://freddywills.com/pick/1498/ohio-state-33.html", "Ohio State -33")</f>
        <v>Ohio State -33</v>
      </c>
      <c r="E2116" s="11">
        <v>2.2000000000000002</v>
      </c>
      <c r="F2116" s="11">
        <v>-1.1000000000000001</v>
      </c>
      <c r="G2116" s="11" t="s">
        <v>6</v>
      </c>
      <c r="H2116" s="13">
        <v>-2200</v>
      </c>
      <c r="I2116" s="14">
        <f t="shared" si="76"/>
        <v>-0.28699809999999981</v>
      </c>
      <c r="J2116" s="13">
        <f t="shared" si="77"/>
        <v>176058.54</v>
      </c>
    </row>
    <row r="2117" spans="1:10" x14ac:dyDescent="0.25">
      <c r="A2117" s="10">
        <v>41593</v>
      </c>
      <c r="B2117" s="11" t="s">
        <v>8</v>
      </c>
      <c r="C2117" s="11" t="s">
        <v>5</v>
      </c>
      <c r="D2117" s="16" t="str">
        <f>HYPERLINK("https://freddywills.com/pick/1499/washington-3.html", "Washington +3")</f>
        <v>Washington +3</v>
      </c>
      <c r="E2117" s="11">
        <v>4.4000000000000004</v>
      </c>
      <c r="F2117" s="11">
        <v>-1.1000000000000001</v>
      </c>
      <c r="G2117" s="11" t="s">
        <v>6</v>
      </c>
      <c r="H2117" s="13">
        <v>-4400</v>
      </c>
      <c r="I2117" s="14">
        <f t="shared" si="76"/>
        <v>-0.26499809999999979</v>
      </c>
      <c r="J2117" s="13">
        <f t="shared" si="77"/>
        <v>178258.54</v>
      </c>
    </row>
    <row r="2118" spans="1:10" x14ac:dyDescent="0.25">
      <c r="A2118" s="10">
        <v>41592</v>
      </c>
      <c r="B2118" s="11" t="s">
        <v>8</v>
      </c>
      <c r="C2118" s="11" t="s">
        <v>5</v>
      </c>
      <c r="D2118" s="16" t="str">
        <f>HYPERLINK("https://freddywills.com/pick/1500/tulsa-13.html", "Tulsa +13")</f>
        <v>Tulsa +13</v>
      </c>
      <c r="E2118" s="11">
        <v>2.2000000000000002</v>
      </c>
      <c r="F2118" s="11">
        <v>-1.1000000000000001</v>
      </c>
      <c r="G2118" s="11" t="s">
        <v>4</v>
      </c>
      <c r="H2118" s="13">
        <v>2000</v>
      </c>
      <c r="I2118" s="14">
        <f t="shared" si="76"/>
        <v>-0.22099809999999981</v>
      </c>
      <c r="J2118" s="13">
        <f t="shared" si="77"/>
        <v>182658.54</v>
      </c>
    </row>
    <row r="2119" spans="1:10" x14ac:dyDescent="0.25">
      <c r="A2119" s="10">
        <v>41592</v>
      </c>
      <c r="B2119" s="11" t="s">
        <v>2</v>
      </c>
      <c r="C2119" s="11" t="s">
        <v>7</v>
      </c>
      <c r="D2119" s="16" t="str">
        <f>HYPERLINK("https://freddywills.com/pick/1501/colts-titans-over-42.html", "Colts/Titans Over 42")</f>
        <v>Colts/Titans Over 42</v>
      </c>
      <c r="E2119" s="11">
        <v>4.4000000000000004</v>
      </c>
      <c r="F2119" s="11">
        <v>-1.1000000000000001</v>
      </c>
      <c r="G2119" s="11" t="s">
        <v>4</v>
      </c>
      <c r="H2119" s="13">
        <v>4000</v>
      </c>
      <c r="I2119" s="14">
        <f t="shared" si="76"/>
        <v>-0.2409980999999998</v>
      </c>
      <c r="J2119" s="13">
        <f t="shared" si="77"/>
        <v>180658.54</v>
      </c>
    </row>
    <row r="2120" spans="1:10" x14ac:dyDescent="0.25">
      <c r="A2120" s="10">
        <v>41592</v>
      </c>
      <c r="B2120" s="11" t="s">
        <v>2</v>
      </c>
      <c r="C2120" s="11" t="s">
        <v>18</v>
      </c>
      <c r="D2120" s="16" t="str">
        <f>HYPERLINK("https://freddywills.com/pick/1502/titans-128.html", "Titans +128")</f>
        <v>Titans +128</v>
      </c>
      <c r="E2120" s="11">
        <v>1.5</v>
      </c>
      <c r="F2120" s="11">
        <v>1.28</v>
      </c>
      <c r="G2120" s="11" t="s">
        <v>6</v>
      </c>
      <c r="H2120" s="13">
        <v>-1500</v>
      </c>
      <c r="I2120" s="14">
        <f t="shared" ref="I2120:I2183" si="78">(H2120/100000)+I2121</f>
        <v>-0.28099809999999981</v>
      </c>
      <c r="J2120" s="13">
        <f t="shared" si="77"/>
        <v>176658.54</v>
      </c>
    </row>
    <row r="2121" spans="1:10" x14ac:dyDescent="0.25">
      <c r="A2121" s="10">
        <v>41590</v>
      </c>
      <c r="B2121" s="11" t="s">
        <v>8</v>
      </c>
      <c r="C2121" s="11" t="s">
        <v>5</v>
      </c>
      <c r="D2121" s="16" t="str">
        <f>HYPERLINK("https://freddywills.com/pick/1503/toledo-4.html", "Toledo -4")</f>
        <v>Toledo -4</v>
      </c>
      <c r="E2121" s="11">
        <v>3.3</v>
      </c>
      <c r="F2121" s="11">
        <v>-1.1000000000000001</v>
      </c>
      <c r="G2121" s="11" t="s">
        <v>4</v>
      </c>
      <c r="H2121" s="13">
        <v>3000</v>
      </c>
      <c r="I2121" s="14">
        <f t="shared" si="78"/>
        <v>-0.26599809999999979</v>
      </c>
      <c r="J2121" s="13">
        <f t="shared" si="77"/>
        <v>178158.54</v>
      </c>
    </row>
    <row r="2122" spans="1:10" x14ac:dyDescent="0.25">
      <c r="A2122" s="10">
        <v>41589</v>
      </c>
      <c r="B2122" s="11" t="s">
        <v>2</v>
      </c>
      <c r="C2122" s="11" t="s">
        <v>5</v>
      </c>
      <c r="D2122" s="16" t="str">
        <f>HYPERLINK("https://freddywills.com/pick/1504/tampa-3-120.html", "Tampa +3 -120")</f>
        <v>Tampa +3 -120</v>
      </c>
      <c r="E2122" s="11">
        <v>1.5</v>
      </c>
      <c r="F2122" s="11">
        <v>-1.2</v>
      </c>
      <c r="G2122" s="11" t="s">
        <v>4</v>
      </c>
      <c r="H2122" s="13">
        <v>1250</v>
      </c>
      <c r="I2122" s="14">
        <f t="shared" si="78"/>
        <v>-0.29599809999999976</v>
      </c>
      <c r="J2122" s="13">
        <f t="shared" si="77"/>
        <v>175158.54</v>
      </c>
    </row>
    <row r="2123" spans="1:10" x14ac:dyDescent="0.25">
      <c r="A2123" s="10">
        <v>41588</v>
      </c>
      <c r="B2123" s="11" t="s">
        <v>2</v>
      </c>
      <c r="C2123" s="11" t="s">
        <v>10</v>
      </c>
      <c r="D2123" s="16" t="str">
        <f>HYPERLINK("https://freddywills.com/pick/1509/bears-4-giants-0-5.html", "Bears +4 / Giants -0.5")</f>
        <v>Bears +4 / Giants -0.5</v>
      </c>
      <c r="E2123" s="11">
        <v>3.3</v>
      </c>
      <c r="F2123" s="11">
        <v>-1.1000000000000001</v>
      </c>
      <c r="G2123" s="11" t="s">
        <v>4</v>
      </c>
      <c r="H2123" s="13">
        <v>3000</v>
      </c>
      <c r="I2123" s="14">
        <f t="shared" si="78"/>
        <v>-0.30849809999999978</v>
      </c>
      <c r="J2123" s="13">
        <f t="shared" si="77"/>
        <v>173908.54</v>
      </c>
    </row>
    <row r="2124" spans="1:10" x14ac:dyDescent="0.25">
      <c r="A2124" s="10">
        <v>41588</v>
      </c>
      <c r="B2124" s="11" t="s">
        <v>2</v>
      </c>
      <c r="C2124" s="11" t="s">
        <v>5</v>
      </c>
      <c r="D2124" s="16" t="str">
        <f>HYPERLINK("https://freddywills.com/pick/1510/jaguars-12.html", "Jaguars +12")</f>
        <v>Jaguars +12</v>
      </c>
      <c r="E2124" s="11">
        <v>1.1000000000000001</v>
      </c>
      <c r="F2124" s="11">
        <v>-1.1000000000000001</v>
      </c>
      <c r="G2124" s="11" t="s">
        <v>4</v>
      </c>
      <c r="H2124" s="13">
        <v>1000</v>
      </c>
      <c r="I2124" s="14">
        <f t="shared" si="78"/>
        <v>-0.3384980999999998</v>
      </c>
      <c r="J2124" s="13">
        <f t="shared" si="77"/>
        <v>170908.54</v>
      </c>
    </row>
    <row r="2125" spans="1:10" x14ac:dyDescent="0.25">
      <c r="A2125" s="10">
        <v>41588</v>
      </c>
      <c r="B2125" s="11" t="s">
        <v>2</v>
      </c>
      <c r="C2125" s="11" t="s">
        <v>5</v>
      </c>
      <c r="D2125" s="16" t="str">
        <f>HYPERLINK("https://freddywills.com/pick/1511/falcons-4-5.html", "Falcons +4.5")</f>
        <v>Falcons +4.5</v>
      </c>
      <c r="E2125" s="11">
        <v>5.5</v>
      </c>
      <c r="F2125" s="11">
        <v>-1.1000000000000001</v>
      </c>
      <c r="G2125" s="11" t="s">
        <v>6</v>
      </c>
      <c r="H2125" s="13">
        <v>-5500</v>
      </c>
      <c r="I2125" s="14">
        <f t="shared" si="78"/>
        <v>-0.34849809999999981</v>
      </c>
      <c r="J2125" s="13">
        <f t="shared" si="77"/>
        <v>169908.54</v>
      </c>
    </row>
    <row r="2126" spans="1:10" x14ac:dyDescent="0.25">
      <c r="A2126" s="10">
        <v>41588</v>
      </c>
      <c r="B2126" s="11" t="s">
        <v>2</v>
      </c>
      <c r="C2126" s="11" t="s">
        <v>18</v>
      </c>
      <c r="D2126" s="16" t="str">
        <f>HYPERLINK("https://freddywills.com/pick/1512/packers-105.html", "Packers +105")</f>
        <v>Packers +105</v>
      </c>
      <c r="E2126" s="11">
        <v>4.5</v>
      </c>
      <c r="F2126" s="11">
        <v>1.05</v>
      </c>
      <c r="G2126" s="11" t="s">
        <v>6</v>
      </c>
      <c r="H2126" s="13">
        <v>-4500</v>
      </c>
      <c r="I2126" s="14">
        <f t="shared" si="78"/>
        <v>-0.29349809999999982</v>
      </c>
      <c r="J2126" s="13">
        <f t="shared" si="77"/>
        <v>175408.54</v>
      </c>
    </row>
    <row r="2127" spans="1:10" x14ac:dyDescent="0.25">
      <c r="A2127" s="10">
        <v>41587</v>
      </c>
      <c r="B2127" s="11" t="s">
        <v>8</v>
      </c>
      <c r="C2127" s="11" t="s">
        <v>5</v>
      </c>
      <c r="D2127" s="16" t="str">
        <f>HYPERLINK("https://freddywills.com/pick/1513/tenn-8.html", "Tenn +8")</f>
        <v>Tenn +8</v>
      </c>
      <c r="E2127" s="11">
        <v>3.3</v>
      </c>
      <c r="F2127" s="11">
        <v>-1.1000000000000001</v>
      </c>
      <c r="G2127" s="11" t="s">
        <v>6</v>
      </c>
      <c r="H2127" s="13">
        <v>-3300</v>
      </c>
      <c r="I2127" s="14">
        <f t="shared" si="78"/>
        <v>-0.24849809999999983</v>
      </c>
      <c r="J2127" s="13">
        <f t="shared" si="77"/>
        <v>179908.54</v>
      </c>
    </row>
    <row r="2128" spans="1:10" x14ac:dyDescent="0.25">
      <c r="A2128" s="10">
        <v>41587</v>
      </c>
      <c r="B2128" s="11" t="s">
        <v>8</v>
      </c>
      <c r="C2128" s="11" t="s">
        <v>18</v>
      </c>
      <c r="D2128" s="16" t="str">
        <f>HYPERLINK("https://freddywills.com/pick/1514/penn-st-120.html", "Penn St +120")</f>
        <v>Penn St +120</v>
      </c>
      <c r="E2128" s="11">
        <v>5.5</v>
      </c>
      <c r="F2128" s="11">
        <v>1.2</v>
      </c>
      <c r="G2128" s="11" t="s">
        <v>6</v>
      </c>
      <c r="H2128" s="13">
        <v>-5500</v>
      </c>
      <c r="I2128" s="14">
        <f t="shared" si="78"/>
        <v>-0.21549809999999983</v>
      </c>
      <c r="J2128" s="13">
        <f t="shared" si="77"/>
        <v>183208.54</v>
      </c>
    </row>
    <row r="2129" spans="1:10" x14ac:dyDescent="0.25">
      <c r="A2129" s="10">
        <v>41587</v>
      </c>
      <c r="B2129" s="11" t="s">
        <v>8</v>
      </c>
      <c r="C2129" s="11" t="s">
        <v>10</v>
      </c>
      <c r="D2129" s="16" t="str">
        <f>HYPERLINK("https://freddywills.com/pick/1515/vtech-14-michigan-0-5.html", "Vtech +14 / Michigan +0.5")</f>
        <v>Vtech +14 / Michigan +0.5</v>
      </c>
      <c r="E2129" s="11">
        <v>4</v>
      </c>
      <c r="F2129" s="11">
        <v>-1.1000000000000001</v>
      </c>
      <c r="G2129" s="11" t="s">
        <v>6</v>
      </c>
      <c r="H2129" s="13">
        <v>-4000</v>
      </c>
      <c r="I2129" s="14">
        <f t="shared" si="78"/>
        <v>-0.16049809999999984</v>
      </c>
      <c r="J2129" s="13">
        <f t="shared" si="77"/>
        <v>188708.54</v>
      </c>
    </row>
    <row r="2130" spans="1:10" x14ac:dyDescent="0.25">
      <c r="A2130" s="10">
        <v>41587</v>
      </c>
      <c r="B2130" s="11" t="s">
        <v>8</v>
      </c>
      <c r="C2130" s="11" t="s">
        <v>5</v>
      </c>
      <c r="D2130" s="16" t="str">
        <f>HYPERLINK("https://freddywills.com/pick/1516/lsu-12-5.html", "LSU +12.5")</f>
        <v>LSU +12.5</v>
      </c>
      <c r="E2130" s="11">
        <v>2.2000000000000002</v>
      </c>
      <c r="F2130" s="11">
        <v>-1.1000000000000001</v>
      </c>
      <c r="G2130" s="11" t="s">
        <v>6</v>
      </c>
      <c r="H2130" s="13">
        <v>-2200</v>
      </c>
      <c r="I2130" s="14">
        <f t="shared" si="78"/>
        <v>-0.12049809999999983</v>
      </c>
      <c r="J2130" s="13">
        <f t="shared" si="77"/>
        <v>192708.54</v>
      </c>
    </row>
    <row r="2131" spans="1:10" x14ac:dyDescent="0.25">
      <c r="A2131" s="10">
        <v>41587</v>
      </c>
      <c r="B2131" s="11" t="s">
        <v>8</v>
      </c>
      <c r="C2131" s="11" t="s">
        <v>5</v>
      </c>
      <c r="D2131" s="16" t="str">
        <f>HYPERLINK("https://freddywills.com/pick/1518/sd-st-7.html", "SD ST +7")</f>
        <v>SD ST +7</v>
      </c>
      <c r="E2131" s="11">
        <v>4.4000000000000004</v>
      </c>
      <c r="F2131" s="11">
        <v>-1.1000000000000001</v>
      </c>
      <c r="G2131" s="11" t="s">
        <v>4</v>
      </c>
      <c r="H2131" s="13">
        <v>4000</v>
      </c>
      <c r="I2131" s="14">
        <f t="shared" si="78"/>
        <v>-9.8498099999999839E-2</v>
      </c>
      <c r="J2131" s="13">
        <f t="shared" si="77"/>
        <v>194908.54</v>
      </c>
    </row>
    <row r="2132" spans="1:10" x14ac:dyDescent="0.25">
      <c r="A2132" s="10">
        <v>41587</v>
      </c>
      <c r="B2132" s="11" t="s">
        <v>8</v>
      </c>
      <c r="C2132" s="11" t="s">
        <v>5</v>
      </c>
      <c r="D2132" s="16" t="str">
        <f>HYPERLINK("https://freddywills.com/pick/1519/ucla-2.html", "UCLA +2")</f>
        <v>UCLA +2</v>
      </c>
      <c r="E2132" s="11">
        <v>3.3</v>
      </c>
      <c r="F2132" s="11">
        <v>-1.1000000000000001</v>
      </c>
      <c r="G2132" s="11" t="s">
        <v>4</v>
      </c>
      <c r="H2132" s="13">
        <v>3000</v>
      </c>
      <c r="I2132" s="14">
        <f t="shared" si="78"/>
        <v>-0.13849809999999985</v>
      </c>
      <c r="J2132" s="13">
        <f t="shared" si="77"/>
        <v>190908.54</v>
      </c>
    </row>
    <row r="2133" spans="1:10" x14ac:dyDescent="0.25">
      <c r="A2133" s="10">
        <v>41587</v>
      </c>
      <c r="B2133" s="11" t="s">
        <v>8</v>
      </c>
      <c r="C2133" s="11" t="s">
        <v>5</v>
      </c>
      <c r="D2133" s="16" t="str">
        <f>HYPERLINK("https://freddywills.com/pick/1520/byu-8.html", "BYU +8")</f>
        <v>BYU +8</v>
      </c>
      <c r="E2133" s="11">
        <v>2.75</v>
      </c>
      <c r="F2133" s="11">
        <v>-1.1000000000000001</v>
      </c>
      <c r="G2133" s="11" t="s">
        <v>6</v>
      </c>
      <c r="H2133" s="13">
        <v>-2750</v>
      </c>
      <c r="I2133" s="14">
        <f t="shared" si="78"/>
        <v>-0.16849809999999985</v>
      </c>
      <c r="J2133" s="13">
        <f t="shared" si="77"/>
        <v>187908.54</v>
      </c>
    </row>
    <row r="2134" spans="1:10" x14ac:dyDescent="0.25">
      <c r="A2134" s="10">
        <v>41587</v>
      </c>
      <c r="B2134" s="11" t="s">
        <v>8</v>
      </c>
      <c r="C2134" s="11" t="s">
        <v>5</v>
      </c>
      <c r="D2134" s="16" t="str">
        <f>HYPERLINK("https://freddywills.com/pick/1521/utah-7.html", "Utah +7")</f>
        <v>Utah +7</v>
      </c>
      <c r="E2134" s="11">
        <v>4.4000000000000004</v>
      </c>
      <c r="F2134" s="11">
        <v>-1.1000000000000001</v>
      </c>
      <c r="G2134" s="11" t="s">
        <v>4</v>
      </c>
      <c r="H2134" s="13">
        <v>4000</v>
      </c>
      <c r="I2134" s="14">
        <f t="shared" si="78"/>
        <v>-0.14099809999999985</v>
      </c>
      <c r="J2134" s="13">
        <f t="shared" si="77"/>
        <v>190658.54</v>
      </c>
    </row>
    <row r="2135" spans="1:10" x14ac:dyDescent="0.25">
      <c r="A2135" s="10">
        <v>41586</v>
      </c>
      <c r="B2135" s="11" t="s">
        <v>8</v>
      </c>
      <c r="C2135" s="11" t="s">
        <v>18</v>
      </c>
      <c r="D2135" s="16" t="str">
        <f>HYPERLINK("https://freddywills.com/pick/1522/air-force-130.html", "Air Force +130")</f>
        <v>Air Force +130</v>
      </c>
      <c r="E2135" s="11">
        <v>3</v>
      </c>
      <c r="F2135" s="11">
        <v>1.3</v>
      </c>
      <c r="G2135" s="11" t="s">
        <v>6</v>
      </c>
      <c r="H2135" s="13">
        <v>-3000</v>
      </c>
      <c r="I2135" s="14">
        <f t="shared" si="78"/>
        <v>-0.18099809999999986</v>
      </c>
      <c r="J2135" s="13">
        <f t="shared" si="77"/>
        <v>186658.54</v>
      </c>
    </row>
    <row r="2136" spans="1:10" x14ac:dyDescent="0.25">
      <c r="A2136" s="10">
        <v>41586</v>
      </c>
      <c r="B2136" s="11" t="s">
        <v>8</v>
      </c>
      <c r="C2136" s="11" t="s">
        <v>18</v>
      </c>
      <c r="D2136" s="16" t="str">
        <f>HYPERLINK("https://freddywills.com/pick/1523/air-force-130.html", "Air Force +130")</f>
        <v>Air Force +130</v>
      </c>
      <c r="E2136" s="11">
        <v>3</v>
      </c>
      <c r="F2136" s="11">
        <v>1.3</v>
      </c>
      <c r="G2136" s="11" t="s">
        <v>6</v>
      </c>
      <c r="H2136" s="13">
        <v>-3000</v>
      </c>
      <c r="I2136" s="14">
        <f t="shared" si="78"/>
        <v>-0.15099809999999986</v>
      </c>
      <c r="J2136" s="13">
        <f t="shared" si="77"/>
        <v>189658.54</v>
      </c>
    </row>
    <row r="2137" spans="1:10" x14ac:dyDescent="0.25">
      <c r="A2137" s="10">
        <v>41585</v>
      </c>
      <c r="B2137" s="11" t="s">
        <v>8</v>
      </c>
      <c r="C2137" s="11" t="s">
        <v>5</v>
      </c>
      <c r="D2137" s="16" t="str">
        <f>HYPERLINK("https://freddywills.com/pick/1524/oklahoma-15.html", "Oklahoma +15")</f>
        <v>Oklahoma +15</v>
      </c>
      <c r="E2137" s="11">
        <v>4.4000000000000004</v>
      </c>
      <c r="F2137" s="11">
        <v>-1.1000000000000001</v>
      </c>
      <c r="G2137" s="11" t="s">
        <v>6</v>
      </c>
      <c r="H2137" s="13">
        <v>-4400</v>
      </c>
      <c r="I2137" s="14">
        <f t="shared" si="78"/>
        <v>-0.12099809999999984</v>
      </c>
      <c r="J2137" s="13">
        <f t="shared" si="77"/>
        <v>192658.54</v>
      </c>
    </row>
    <row r="2138" spans="1:10" x14ac:dyDescent="0.25">
      <c r="A2138" s="10">
        <v>41585</v>
      </c>
      <c r="B2138" s="11" t="s">
        <v>8</v>
      </c>
      <c r="C2138" s="11" t="s">
        <v>5</v>
      </c>
      <c r="D2138" s="16" t="str">
        <f>HYPERLINK("https://freddywills.com/pick/1525/oregon-10.html", "Oregon -10")</f>
        <v>Oregon -10</v>
      </c>
      <c r="E2138" s="11">
        <v>3.3</v>
      </c>
      <c r="F2138" s="11">
        <v>-1.1000000000000001</v>
      </c>
      <c r="G2138" s="11" t="s">
        <v>6</v>
      </c>
      <c r="H2138" s="13">
        <v>-3300</v>
      </c>
      <c r="I2138" s="14">
        <f t="shared" si="78"/>
        <v>-7.6998099999999847E-2</v>
      </c>
      <c r="J2138" s="13">
        <f t="shared" si="77"/>
        <v>197058.54</v>
      </c>
    </row>
    <row r="2139" spans="1:10" x14ac:dyDescent="0.25">
      <c r="A2139" s="10">
        <v>41585</v>
      </c>
      <c r="B2139" s="11" t="s">
        <v>2</v>
      </c>
      <c r="C2139" s="11" t="s">
        <v>7</v>
      </c>
      <c r="D2139" s="16" t="str">
        <f>HYPERLINK("https://freddywills.com/pick/1526/min-wsh-u49.html", "MIN/WSH U49")</f>
        <v>MIN/WSH U49</v>
      </c>
      <c r="E2139" s="11">
        <v>4.4000000000000004</v>
      </c>
      <c r="F2139" s="11">
        <v>-1.1000000000000001</v>
      </c>
      <c r="G2139" s="11" t="s">
        <v>6</v>
      </c>
      <c r="H2139" s="13">
        <v>-4400</v>
      </c>
      <c r="I2139" s="14">
        <f t="shared" si="78"/>
        <v>-4.3998099999999853E-2</v>
      </c>
      <c r="J2139" s="13">
        <f t="shared" si="77"/>
        <v>200358.54</v>
      </c>
    </row>
    <row r="2140" spans="1:10" x14ac:dyDescent="0.25">
      <c r="A2140" s="10">
        <v>41585</v>
      </c>
      <c r="B2140" s="11" t="s">
        <v>2</v>
      </c>
      <c r="C2140" s="11" t="s">
        <v>10</v>
      </c>
      <c r="D2140" s="16" t="str">
        <f>HYPERLINK("https://freddywills.com/pick/1527/min-8-u55.html", "MIN +8 / U55")</f>
        <v>MIN +8 / U55</v>
      </c>
      <c r="E2140" s="11">
        <v>2.2000000000000002</v>
      </c>
      <c r="F2140" s="11">
        <v>-1.1000000000000001</v>
      </c>
      <c r="G2140" s="11" t="s">
        <v>6</v>
      </c>
      <c r="H2140" s="13">
        <v>-2200</v>
      </c>
      <c r="I2140" s="14">
        <f t="shared" si="78"/>
        <v>1.9000000001448414E-6</v>
      </c>
      <c r="J2140" s="13">
        <f t="shared" si="77"/>
        <v>204758.54</v>
      </c>
    </row>
    <row r="2141" spans="1:10" x14ac:dyDescent="0.25">
      <c r="A2141" s="10">
        <v>41583</v>
      </c>
      <c r="B2141" s="11" t="s">
        <v>8</v>
      </c>
      <c r="C2141" s="11" t="s">
        <v>5</v>
      </c>
      <c r="D2141" s="16" t="str">
        <f>HYPERLINK("https://freddywills.com/pick/1528/ohio-4.html", "Ohio +4")</f>
        <v>Ohio +4</v>
      </c>
      <c r="E2141" s="11">
        <v>4.4000000000000004</v>
      </c>
      <c r="F2141" s="11">
        <v>-1.1000000000000001</v>
      </c>
      <c r="G2141" s="11" t="s">
        <v>6</v>
      </c>
      <c r="H2141" s="13">
        <v>-4400</v>
      </c>
      <c r="I2141" s="14">
        <f t="shared" si="78"/>
        <v>2.2001900000000144E-2</v>
      </c>
      <c r="J2141" s="13">
        <f t="shared" si="77"/>
        <v>206958.54</v>
      </c>
    </row>
    <row r="2142" spans="1:10" x14ac:dyDescent="0.25">
      <c r="A2142" s="10">
        <v>41581</v>
      </c>
      <c r="B2142" s="11" t="s">
        <v>2</v>
      </c>
      <c r="C2142" s="11" t="s">
        <v>18</v>
      </c>
      <c r="D2142" s="16" t="str">
        <f>HYPERLINK("https://freddywills.com/pick/1529/texans-110.html", "Texans +110")</f>
        <v>Texans +110</v>
      </c>
      <c r="E2142" s="11">
        <v>5.5</v>
      </c>
      <c r="F2142" s="11">
        <v>1.1000000000000001</v>
      </c>
      <c r="G2142" s="11" t="s">
        <v>6</v>
      </c>
      <c r="H2142" s="13">
        <v>-5500</v>
      </c>
      <c r="I2142" s="14">
        <f t="shared" si="78"/>
        <v>6.6001900000000141E-2</v>
      </c>
      <c r="J2142" s="13">
        <f t="shared" si="77"/>
        <v>211358.54</v>
      </c>
    </row>
    <row r="2143" spans="1:10" x14ac:dyDescent="0.25">
      <c r="A2143" s="10">
        <v>41581</v>
      </c>
      <c r="B2143" s="11" t="s">
        <v>2</v>
      </c>
      <c r="C2143" s="11" t="s">
        <v>5</v>
      </c>
      <c r="D2143" s="16" t="str">
        <f>HYPERLINK("https://freddywills.com/pick/1530/steelers-6.html", "Steelers +6")</f>
        <v>Steelers +6</v>
      </c>
      <c r="E2143" s="11">
        <v>4.4000000000000004</v>
      </c>
      <c r="F2143" s="11">
        <v>-1.1000000000000001</v>
      </c>
      <c r="G2143" s="11" t="s">
        <v>6</v>
      </c>
      <c r="H2143" s="13">
        <v>-4400</v>
      </c>
      <c r="I2143" s="14">
        <f t="shared" si="78"/>
        <v>0.12100190000000015</v>
      </c>
      <c r="J2143" s="13">
        <f t="shared" si="77"/>
        <v>216858.54</v>
      </c>
    </row>
    <row r="2144" spans="1:10" x14ac:dyDescent="0.25">
      <c r="A2144" s="10">
        <v>41581</v>
      </c>
      <c r="B2144" s="11" t="s">
        <v>2</v>
      </c>
      <c r="C2144" s="11" t="s">
        <v>5</v>
      </c>
      <c r="D2144" s="16" t="str">
        <f>HYPERLINK("https://freddywills.com/pick/1531/chargers-1.html", "Chargers +1")</f>
        <v>Chargers +1</v>
      </c>
      <c r="E2144" s="11">
        <v>2.2000000000000002</v>
      </c>
      <c r="F2144" s="11">
        <v>-1.1000000000000001</v>
      </c>
      <c r="G2144" s="11" t="s">
        <v>6</v>
      </c>
      <c r="H2144" s="13">
        <v>-2200</v>
      </c>
      <c r="I2144" s="14">
        <f t="shared" si="78"/>
        <v>0.16500190000000015</v>
      </c>
      <c r="J2144" s="13">
        <f t="shared" si="77"/>
        <v>221258.54</v>
      </c>
    </row>
    <row r="2145" spans="1:10" x14ac:dyDescent="0.25">
      <c r="A2145" s="10">
        <v>41581</v>
      </c>
      <c r="B2145" s="11" t="s">
        <v>2</v>
      </c>
      <c r="C2145" s="11" t="s">
        <v>5</v>
      </c>
      <c r="D2145" s="16" t="str">
        <f>HYPERLINK("https://freddywills.com/pick/1532/bills-4-5.html", "Bills +4.5")</f>
        <v>Bills +4.5</v>
      </c>
      <c r="E2145" s="11">
        <v>3.3</v>
      </c>
      <c r="F2145" s="11">
        <v>-1.1000000000000001</v>
      </c>
      <c r="G2145" s="11" t="s">
        <v>6</v>
      </c>
      <c r="H2145" s="13">
        <v>-3300</v>
      </c>
      <c r="I2145" s="14">
        <f t="shared" si="78"/>
        <v>0.18700190000000014</v>
      </c>
      <c r="J2145" s="13">
        <f t="shared" si="77"/>
        <v>223458.54</v>
      </c>
    </row>
    <row r="2146" spans="1:10" x14ac:dyDescent="0.25">
      <c r="A2146" s="10">
        <v>41580</v>
      </c>
      <c r="B2146" s="11" t="s">
        <v>8</v>
      </c>
      <c r="C2146" s="11" t="s">
        <v>5</v>
      </c>
      <c r="D2146" s="16" t="str">
        <f>HYPERLINK("https://freddywills.com/pick/1533/uab-4.html", "UAB +4")</f>
        <v>UAB +4</v>
      </c>
      <c r="E2146" s="11">
        <v>3.3</v>
      </c>
      <c r="F2146" s="11">
        <v>-1.1000000000000001</v>
      </c>
      <c r="G2146" s="11" t="s">
        <v>4</v>
      </c>
      <c r="H2146" s="13">
        <v>3000</v>
      </c>
      <c r="I2146" s="14">
        <f t="shared" si="78"/>
        <v>0.22000190000000014</v>
      </c>
      <c r="J2146" s="13">
        <f t="shared" si="77"/>
        <v>226758.54</v>
      </c>
    </row>
    <row r="2147" spans="1:10" x14ac:dyDescent="0.25">
      <c r="A2147" s="10">
        <v>41580</v>
      </c>
      <c r="B2147" s="11" t="s">
        <v>8</v>
      </c>
      <c r="C2147" s="11" t="s">
        <v>5</v>
      </c>
      <c r="D2147" s="16" t="str">
        <f>HYPERLINK("https://freddywills.com/pick/1534/georgia-2-5.html", "Georgia -2.5")</f>
        <v>Georgia -2.5</v>
      </c>
      <c r="E2147" s="11">
        <v>4.4000000000000004</v>
      </c>
      <c r="F2147" s="11">
        <v>-1.1000000000000001</v>
      </c>
      <c r="G2147" s="11" t="s">
        <v>4</v>
      </c>
      <c r="H2147" s="13">
        <v>4000</v>
      </c>
      <c r="I2147" s="14">
        <f t="shared" si="78"/>
        <v>0.19000190000000014</v>
      </c>
      <c r="J2147" s="13">
        <f t="shared" si="77"/>
        <v>223758.54</v>
      </c>
    </row>
    <row r="2148" spans="1:10" x14ac:dyDescent="0.25">
      <c r="A2148" s="10">
        <v>41580</v>
      </c>
      <c r="B2148" s="11" t="s">
        <v>8</v>
      </c>
      <c r="C2148" s="11" t="s">
        <v>5</v>
      </c>
      <c r="D2148" s="16" t="str">
        <f>HYPERLINK("https://freddywills.com/pick/1535/northwestern-6.html", "Northwestern +6")</f>
        <v>Northwestern +6</v>
      </c>
      <c r="E2148" s="11">
        <v>4.4000000000000004</v>
      </c>
      <c r="F2148" s="11">
        <v>-1.1000000000000001</v>
      </c>
      <c r="G2148" s="11" t="s">
        <v>4</v>
      </c>
      <c r="H2148" s="13">
        <v>4000</v>
      </c>
      <c r="I2148" s="14">
        <f t="shared" si="78"/>
        <v>0.15000190000000013</v>
      </c>
      <c r="J2148" s="13">
        <f t="shared" si="77"/>
        <v>219758.54</v>
      </c>
    </row>
    <row r="2149" spans="1:10" x14ac:dyDescent="0.25">
      <c r="A2149" s="10">
        <v>41580</v>
      </c>
      <c r="B2149" s="11" t="s">
        <v>8</v>
      </c>
      <c r="C2149" s="11" t="s">
        <v>5</v>
      </c>
      <c r="D2149" s="16" t="str">
        <f>HYPERLINK("https://freddywills.com/pick/1536/oklahoma-st-1-5.html", "Oklahoma St -1.5")</f>
        <v>Oklahoma St -1.5</v>
      </c>
      <c r="E2149" s="11">
        <v>4.4000000000000004</v>
      </c>
      <c r="F2149" s="11">
        <v>-1.1000000000000001</v>
      </c>
      <c r="G2149" s="11" t="s">
        <v>4</v>
      </c>
      <c r="H2149" s="13">
        <v>4000</v>
      </c>
      <c r="I2149" s="14">
        <f t="shared" si="78"/>
        <v>0.11000190000000012</v>
      </c>
      <c r="J2149" s="13">
        <f t="shared" si="77"/>
        <v>215758.54</v>
      </c>
    </row>
    <row r="2150" spans="1:10" x14ac:dyDescent="0.25">
      <c r="A2150" s="10">
        <v>41580</v>
      </c>
      <c r="B2150" s="11" t="s">
        <v>8</v>
      </c>
      <c r="C2150" s="11" t="s">
        <v>5</v>
      </c>
      <c r="D2150" s="16" t="str">
        <f>HYPERLINK("https://freddywills.com/pick/1537/michigan-st-4-5.html", "Michigan St -4.5")</f>
        <v>Michigan St -4.5</v>
      </c>
      <c r="E2150" s="11">
        <v>2.2000000000000002</v>
      </c>
      <c r="F2150" s="11">
        <v>-1.1000000000000001</v>
      </c>
      <c r="G2150" s="11" t="s">
        <v>4</v>
      </c>
      <c r="H2150" s="13">
        <v>2000</v>
      </c>
      <c r="I2150" s="14">
        <f t="shared" si="78"/>
        <v>7.0001900000000117E-2</v>
      </c>
      <c r="J2150" s="13">
        <f t="shared" si="77"/>
        <v>211758.54</v>
      </c>
    </row>
    <row r="2151" spans="1:10" x14ac:dyDescent="0.25">
      <c r="A2151" s="10">
        <v>41580</v>
      </c>
      <c r="B2151" s="11" t="s">
        <v>8</v>
      </c>
      <c r="C2151" s="11" t="s">
        <v>5</v>
      </c>
      <c r="D2151" s="16" t="str">
        <f>HYPERLINK("https://freddywills.com/pick/1538/tenn-10.html", "Tenn +10")</f>
        <v>Tenn +10</v>
      </c>
      <c r="E2151" s="11">
        <v>1.1000000000000001</v>
      </c>
      <c r="F2151" s="11">
        <v>-1.1000000000000001</v>
      </c>
      <c r="G2151" s="11" t="s">
        <v>6</v>
      </c>
      <c r="H2151" s="13">
        <v>-1100</v>
      </c>
      <c r="I2151" s="14">
        <f t="shared" si="78"/>
        <v>5.0001900000000113E-2</v>
      </c>
      <c r="J2151" s="13">
        <f t="shared" si="77"/>
        <v>209758.54</v>
      </c>
    </row>
    <row r="2152" spans="1:10" x14ac:dyDescent="0.25">
      <c r="A2152" s="10">
        <v>41580</v>
      </c>
      <c r="B2152" s="11" t="s">
        <v>8</v>
      </c>
      <c r="C2152" s="11" t="s">
        <v>5</v>
      </c>
      <c r="D2152" s="16" t="str">
        <f>HYPERLINK("https://freddywills.com/pick/1539/arkansas-8-ark-265.html", "Arkansas +8 / Ark +265")</f>
        <v>Arkansas +8 / Ark +265</v>
      </c>
      <c r="E2152" s="11">
        <v>6.5</v>
      </c>
      <c r="F2152" s="11">
        <v>2.65</v>
      </c>
      <c r="G2152" s="11" t="s">
        <v>6</v>
      </c>
      <c r="H2152" s="13">
        <v>-6500</v>
      </c>
      <c r="I2152" s="14">
        <f t="shared" si="78"/>
        <v>6.1001900000000109E-2</v>
      </c>
      <c r="J2152" s="13">
        <f t="shared" si="77"/>
        <v>210858.54</v>
      </c>
    </row>
    <row r="2153" spans="1:10" x14ac:dyDescent="0.25">
      <c r="A2153" s="10">
        <v>41579</v>
      </c>
      <c r="B2153" s="11" t="s">
        <v>8</v>
      </c>
      <c r="C2153" s="11" t="s">
        <v>5</v>
      </c>
      <c r="D2153" s="16" t="str">
        <f>HYPERLINK("https://freddywills.com/pick/1540/usc-4.html", "USC +4")</f>
        <v>USC +4</v>
      </c>
      <c r="E2153" s="11">
        <v>3.3</v>
      </c>
      <c r="F2153" s="11">
        <v>-1.1000000000000001</v>
      </c>
      <c r="G2153" s="11" t="s">
        <v>4</v>
      </c>
      <c r="H2153" s="13">
        <v>3000</v>
      </c>
      <c r="I2153" s="14">
        <f t="shared" si="78"/>
        <v>0.12600190000000011</v>
      </c>
      <c r="J2153" s="13">
        <f t="shared" si="77"/>
        <v>217358.54</v>
      </c>
    </row>
    <row r="2154" spans="1:10" x14ac:dyDescent="0.25">
      <c r="A2154" s="10">
        <v>41578</v>
      </c>
      <c r="B2154" s="11" t="s">
        <v>8</v>
      </c>
      <c r="C2154" s="11" t="s">
        <v>5</v>
      </c>
      <c r="D2154" s="16" t="str">
        <f>HYPERLINK("https://freddywills.com/pick/1541/la-monroe-3-5.html", "LA Monroe +3.5")</f>
        <v>LA Monroe +3.5</v>
      </c>
      <c r="E2154" s="11">
        <v>3.3</v>
      </c>
      <c r="F2154" s="11">
        <v>-1.1000000000000001</v>
      </c>
      <c r="G2154" s="11" t="s">
        <v>4</v>
      </c>
      <c r="H2154" s="13">
        <v>3000</v>
      </c>
      <c r="I2154" s="14">
        <f t="shared" si="78"/>
        <v>9.6001900000000098E-2</v>
      </c>
      <c r="J2154" s="13">
        <f t="shared" si="77"/>
        <v>214358.54</v>
      </c>
    </row>
    <row r="2155" spans="1:10" x14ac:dyDescent="0.25">
      <c r="A2155" s="10">
        <v>41578</v>
      </c>
      <c r="B2155" s="11" t="s">
        <v>2</v>
      </c>
      <c r="C2155" s="11" t="s">
        <v>5</v>
      </c>
      <c r="D2155" s="16" t="str">
        <f>HYPERLINK("https://freddywills.com/pick/1542/dolphins-3-105.html", "Dolphins +3 +105")</f>
        <v>Dolphins +3 +105</v>
      </c>
      <c r="E2155" s="11">
        <v>4.5</v>
      </c>
      <c r="F2155" s="11">
        <v>1.05</v>
      </c>
      <c r="G2155" s="11" t="s">
        <v>4</v>
      </c>
      <c r="H2155" s="13">
        <v>4725</v>
      </c>
      <c r="I2155" s="14">
        <f t="shared" si="78"/>
        <v>6.6001900000000099E-2</v>
      </c>
      <c r="J2155" s="13">
        <f t="shared" si="77"/>
        <v>211358.54</v>
      </c>
    </row>
    <row r="2156" spans="1:10" x14ac:dyDescent="0.25">
      <c r="A2156" s="10">
        <v>41578</v>
      </c>
      <c r="B2156" s="11" t="s">
        <v>8</v>
      </c>
      <c r="C2156" s="11" t="s">
        <v>5</v>
      </c>
      <c r="D2156" s="16" t="str">
        <f>HYPERLINK("https://freddywills.com/pick/1543/wash-st-11-5.html", "Wash St +11.5")</f>
        <v>Wash St +11.5</v>
      </c>
      <c r="E2156" s="11">
        <v>4.4000000000000004</v>
      </c>
      <c r="F2156" s="11">
        <v>-1.1000000000000001</v>
      </c>
      <c r="G2156" s="11" t="s">
        <v>6</v>
      </c>
      <c r="H2156" s="13">
        <v>-4400</v>
      </c>
      <c r="I2156" s="14">
        <f t="shared" si="78"/>
        <v>1.8751900000000099E-2</v>
      </c>
      <c r="J2156" s="13">
        <f t="shared" si="77"/>
        <v>206633.54</v>
      </c>
    </row>
    <row r="2157" spans="1:10" x14ac:dyDescent="0.25">
      <c r="A2157" s="10">
        <v>41577</v>
      </c>
      <c r="B2157" s="11" t="s">
        <v>8</v>
      </c>
      <c r="C2157" s="11" t="s">
        <v>5</v>
      </c>
      <c r="D2157" s="16" t="str">
        <f>HYPERLINK("https://freddywills.com/pick/1544/memphis-3-115.html", "Memphis +3 -115")</f>
        <v>Memphis +3 -115</v>
      </c>
      <c r="E2157" s="11">
        <v>5</v>
      </c>
      <c r="F2157" s="11">
        <v>-1.1499999999999999</v>
      </c>
      <c r="G2157" s="11" t="s">
        <v>6</v>
      </c>
      <c r="H2157" s="13">
        <v>-5000</v>
      </c>
      <c r="I2157" s="14">
        <f t="shared" si="78"/>
        <v>6.2751900000000096E-2</v>
      </c>
      <c r="J2157" s="13">
        <f t="shared" si="77"/>
        <v>211033.54</v>
      </c>
    </row>
    <row r="2158" spans="1:10" x14ac:dyDescent="0.25">
      <c r="A2158" s="10">
        <v>41575</v>
      </c>
      <c r="B2158" s="11" t="s">
        <v>2</v>
      </c>
      <c r="C2158" s="11" t="s">
        <v>10</v>
      </c>
      <c r="D2158" s="16" t="str">
        <f>HYPERLINK("https://freddywills.com/pick/1548/rams-20-under-50-5.html", "Rams +20 / Under 50.5")</f>
        <v>Rams +20 / Under 50.5</v>
      </c>
      <c r="E2158" s="11">
        <v>2.2000000000000002</v>
      </c>
      <c r="F2158" s="11">
        <v>-1.1000000000000001</v>
      </c>
      <c r="G2158" s="11" t="s">
        <v>4</v>
      </c>
      <c r="H2158" s="13">
        <v>2000</v>
      </c>
      <c r="I2158" s="14">
        <f t="shared" si="78"/>
        <v>0.1127519000000001</v>
      </c>
      <c r="J2158" s="13">
        <f t="shared" si="77"/>
        <v>216033.54</v>
      </c>
    </row>
    <row r="2159" spans="1:10" x14ac:dyDescent="0.25">
      <c r="A2159" s="10">
        <v>41574</v>
      </c>
      <c r="B2159" s="11" t="s">
        <v>2</v>
      </c>
      <c r="C2159" s="11" t="s">
        <v>5</v>
      </c>
      <c r="D2159" s="16" t="str">
        <f>HYPERLINK("https://freddywills.com/pick/1549/vikings-8.html", "Vikings +8")</f>
        <v>Vikings +8</v>
      </c>
      <c r="E2159" s="11">
        <v>4.4000000000000004</v>
      </c>
      <c r="F2159" s="11">
        <v>-1.1000000000000001</v>
      </c>
      <c r="G2159" s="11" t="s">
        <v>6</v>
      </c>
      <c r="H2159" s="13">
        <v>-4400</v>
      </c>
      <c r="I2159" s="14">
        <f t="shared" si="78"/>
        <v>9.2751900000000095E-2</v>
      </c>
      <c r="J2159" s="13">
        <f t="shared" si="77"/>
        <v>214033.54</v>
      </c>
    </row>
    <row r="2160" spans="1:10" x14ac:dyDescent="0.25">
      <c r="A2160" s="10">
        <v>41574</v>
      </c>
      <c r="B2160" s="11" t="s">
        <v>2</v>
      </c>
      <c r="C2160" s="11" t="s">
        <v>5</v>
      </c>
      <c r="D2160" s="16" t="str">
        <f>HYPERLINK("https://freddywills.com/pick/1550/browns-7-5.html", "Browns +7.5")</f>
        <v>Browns +7.5</v>
      </c>
      <c r="E2160" s="11">
        <v>5.5</v>
      </c>
      <c r="F2160" s="11">
        <v>-1.1000000000000001</v>
      </c>
      <c r="G2160" s="11" t="s">
        <v>4</v>
      </c>
      <c r="H2160" s="13">
        <v>5000</v>
      </c>
      <c r="I2160" s="14">
        <f t="shared" si="78"/>
        <v>0.13675190000000009</v>
      </c>
      <c r="J2160" s="13">
        <f t="shared" si="77"/>
        <v>218433.54</v>
      </c>
    </row>
    <row r="2161" spans="1:10" x14ac:dyDescent="0.25">
      <c r="A2161" s="10">
        <v>41574</v>
      </c>
      <c r="B2161" s="11" t="s">
        <v>2</v>
      </c>
      <c r="C2161" s="11" t="s">
        <v>18</v>
      </c>
      <c r="D2161" s="16" t="str">
        <f>HYPERLINK("https://freddywills.com/pick/1551/browns-300.html", "Browns +300")</f>
        <v>Browns +300</v>
      </c>
      <c r="E2161" s="11">
        <v>1</v>
      </c>
      <c r="F2161" s="11">
        <v>3</v>
      </c>
      <c r="G2161" s="11" t="s">
        <v>6</v>
      </c>
      <c r="H2161" s="13">
        <v>-1000</v>
      </c>
      <c r="I2161" s="14">
        <f t="shared" si="78"/>
        <v>8.675190000000009E-2</v>
      </c>
      <c r="J2161" s="13">
        <f t="shared" si="77"/>
        <v>213433.54</v>
      </c>
    </row>
    <row r="2162" spans="1:10" x14ac:dyDescent="0.25">
      <c r="A2162" s="10">
        <v>41574</v>
      </c>
      <c r="B2162" s="11" t="s">
        <v>2</v>
      </c>
      <c r="C2162" s="11" t="s">
        <v>5</v>
      </c>
      <c r="D2162" s="16" t="str">
        <f>HYPERLINK("https://freddywills.com/pick/1552/lions-2-5.html", "lions -2.5")</f>
        <v>lions -2.5</v>
      </c>
      <c r="E2162" s="11">
        <v>2.2000000000000002</v>
      </c>
      <c r="F2162" s="11">
        <v>-1.1000000000000001</v>
      </c>
      <c r="G2162" s="11" t="s">
        <v>6</v>
      </c>
      <c r="H2162" s="13">
        <v>-2200</v>
      </c>
      <c r="I2162" s="14">
        <f t="shared" si="78"/>
        <v>9.6751900000000085E-2</v>
      </c>
      <c r="J2162" s="13">
        <f t="shared" si="77"/>
        <v>214433.54</v>
      </c>
    </row>
    <row r="2163" spans="1:10" x14ac:dyDescent="0.25">
      <c r="A2163" s="10">
        <v>41574</v>
      </c>
      <c r="B2163" s="11" t="s">
        <v>2</v>
      </c>
      <c r="C2163" s="11" t="s">
        <v>5</v>
      </c>
      <c r="D2163" s="16" t="str">
        <f>HYPERLINK("https://freddywills.com/pick/1553/raiders-3-120.html", "Raiders +3 -120")</f>
        <v>Raiders +3 -120</v>
      </c>
      <c r="E2163" s="11">
        <v>3.5</v>
      </c>
      <c r="F2163" s="11">
        <v>-1.2</v>
      </c>
      <c r="G2163" s="11" t="s">
        <v>4</v>
      </c>
      <c r="H2163" s="13">
        <v>2916.67</v>
      </c>
      <c r="I2163" s="14">
        <f t="shared" si="78"/>
        <v>0.11875190000000009</v>
      </c>
      <c r="J2163" s="13">
        <f t="shared" si="77"/>
        <v>216633.54</v>
      </c>
    </row>
    <row r="2164" spans="1:10" x14ac:dyDescent="0.25">
      <c r="A2164" s="10">
        <v>41573</v>
      </c>
      <c r="B2164" s="11" t="s">
        <v>8</v>
      </c>
      <c r="C2164" s="11" t="s">
        <v>5</v>
      </c>
      <c r="D2164" s="16" t="str">
        <f>HYPERLINK("https://freddywills.com/pick/1555/texas-2.html", "Texas +2")</f>
        <v>Texas +2</v>
      </c>
      <c r="E2164" s="11">
        <v>5.5</v>
      </c>
      <c r="F2164" s="11">
        <v>-1.1000000000000001</v>
      </c>
      <c r="G2164" s="11" t="s">
        <v>4</v>
      </c>
      <c r="H2164" s="13">
        <v>5000</v>
      </c>
      <c r="I2164" s="14">
        <f t="shared" si="78"/>
        <v>8.9585200000000087E-2</v>
      </c>
      <c r="J2164" s="13">
        <f t="shared" si="77"/>
        <v>213716.87</v>
      </c>
    </row>
    <row r="2165" spans="1:10" x14ac:dyDescent="0.25">
      <c r="A2165" s="10">
        <v>41573</v>
      </c>
      <c r="B2165" s="11" t="s">
        <v>8</v>
      </c>
      <c r="C2165" s="11" t="s">
        <v>5</v>
      </c>
      <c r="D2165" s="16" t="str">
        <f>HYPERLINK("https://freddywills.com/pick/1556/colorado-13-5.html", "Colorado +13.5")</f>
        <v>Colorado +13.5</v>
      </c>
      <c r="E2165" s="11">
        <v>4.4000000000000004</v>
      </c>
      <c r="F2165" s="11">
        <v>-1.1000000000000001</v>
      </c>
      <c r="G2165" s="11" t="s">
        <v>6</v>
      </c>
      <c r="H2165" s="13">
        <v>-4400</v>
      </c>
      <c r="I2165" s="14">
        <f t="shared" si="78"/>
        <v>3.9585200000000084E-2</v>
      </c>
      <c r="J2165" s="13">
        <f t="shared" si="77"/>
        <v>208716.87</v>
      </c>
    </row>
    <row r="2166" spans="1:10" x14ac:dyDescent="0.25">
      <c r="A2166" s="10">
        <v>41573</v>
      </c>
      <c r="B2166" s="11" t="s">
        <v>8</v>
      </c>
      <c r="C2166" s="11" t="s">
        <v>5</v>
      </c>
      <c r="D2166" s="16" t="str">
        <f>HYPERLINK("https://freddywills.com/pick/1557/south-carolina-3.html", "South Carolina +3")</f>
        <v>South Carolina +3</v>
      </c>
      <c r="E2166" s="11">
        <v>4.4000000000000004</v>
      </c>
      <c r="F2166" s="11">
        <v>-1.1000000000000001</v>
      </c>
      <c r="G2166" s="11" t="s">
        <v>4</v>
      </c>
      <c r="H2166" s="13">
        <v>4000</v>
      </c>
      <c r="I2166" s="14">
        <f t="shared" si="78"/>
        <v>8.3585200000000082E-2</v>
      </c>
      <c r="J2166" s="13">
        <f t="shared" si="77"/>
        <v>213116.87</v>
      </c>
    </row>
    <row r="2167" spans="1:10" x14ac:dyDescent="0.25">
      <c r="A2167" s="10">
        <v>41573</v>
      </c>
      <c r="B2167" s="11" t="s">
        <v>8</v>
      </c>
      <c r="C2167" s="11" t="s">
        <v>10</v>
      </c>
      <c r="D2167" s="16" t="str">
        <f>HYPERLINK("https://freddywills.com/pick/1558/kansas-state-5-5-texas-8-5.html", "Kansas State -5.5 / Texas +8.5")</f>
        <v>Kansas State -5.5 / Texas +8.5</v>
      </c>
      <c r="E2167" s="11">
        <v>2.75</v>
      </c>
      <c r="F2167" s="11">
        <v>-1.1000000000000001</v>
      </c>
      <c r="G2167" s="11" t="s">
        <v>4</v>
      </c>
      <c r="H2167" s="13">
        <v>2500</v>
      </c>
      <c r="I2167" s="14">
        <f t="shared" si="78"/>
        <v>4.3585200000000081E-2</v>
      </c>
      <c r="J2167" s="13">
        <f t="shared" si="77"/>
        <v>209116.87</v>
      </c>
    </row>
    <row r="2168" spans="1:10" x14ac:dyDescent="0.25">
      <c r="A2168" s="10">
        <v>41573</v>
      </c>
      <c r="B2168" s="11" t="s">
        <v>8</v>
      </c>
      <c r="C2168" s="11" t="s">
        <v>5</v>
      </c>
      <c r="D2168" s="16" t="str">
        <f>HYPERLINK("https://freddywills.com/pick/1559/tulsa-2-5.html", "Tulsa -2.5")</f>
        <v>Tulsa -2.5</v>
      </c>
      <c r="E2168" s="11">
        <v>3.3</v>
      </c>
      <c r="F2168" s="11">
        <v>-1.1000000000000001</v>
      </c>
      <c r="G2168" s="11" t="s">
        <v>6</v>
      </c>
      <c r="H2168" s="13">
        <v>-3300</v>
      </c>
      <c r="I2168" s="14">
        <f t="shared" si="78"/>
        <v>1.8585200000000079E-2</v>
      </c>
      <c r="J2168" s="13">
        <f t="shared" si="77"/>
        <v>206616.87</v>
      </c>
    </row>
    <row r="2169" spans="1:10" x14ac:dyDescent="0.25">
      <c r="A2169" s="10">
        <v>41573</v>
      </c>
      <c r="B2169" s="11" t="s">
        <v>8</v>
      </c>
      <c r="C2169" s="11" t="s">
        <v>5</v>
      </c>
      <c r="D2169" s="16" t="str">
        <f>HYPERLINK("https://freddywills.com/pick/1560/northwestern-4.html", "Northwestern +4")</f>
        <v>Northwestern +4</v>
      </c>
      <c r="E2169" s="11">
        <v>4.4000000000000004</v>
      </c>
      <c r="F2169" s="11">
        <v>-1.1000000000000001</v>
      </c>
      <c r="G2169" s="11" t="s">
        <v>6</v>
      </c>
      <c r="H2169" s="13">
        <v>-4400</v>
      </c>
      <c r="I2169" s="14">
        <f t="shared" si="78"/>
        <v>5.1585200000000081E-2</v>
      </c>
      <c r="J2169" s="13">
        <f t="shared" si="77"/>
        <v>209916.87</v>
      </c>
    </row>
    <row r="2170" spans="1:10" x14ac:dyDescent="0.25">
      <c r="A2170" s="10">
        <v>41573</v>
      </c>
      <c r="B2170" s="11" t="s">
        <v>8</v>
      </c>
      <c r="C2170" s="11" t="s">
        <v>5</v>
      </c>
      <c r="D2170" s="16" t="str">
        <f>HYPERLINK("https://freddywills.com/pick/1561/texas-a-amp-m-17.html", "Texas A&amp;amp;M -17")</f>
        <v>Texas A&amp;amp;M -17</v>
      </c>
      <c r="E2170" s="11">
        <v>3.3</v>
      </c>
      <c r="F2170" s="11">
        <v>-1.1000000000000001</v>
      </c>
      <c r="G2170" s="11" t="s">
        <v>4</v>
      </c>
      <c r="H2170" s="13">
        <v>3000</v>
      </c>
      <c r="I2170" s="14">
        <f t="shared" si="78"/>
        <v>9.5585200000000078E-2</v>
      </c>
      <c r="J2170" s="13">
        <f t="shared" si="77"/>
        <v>214316.87</v>
      </c>
    </row>
    <row r="2171" spans="1:10" x14ac:dyDescent="0.25">
      <c r="A2171" s="10">
        <v>41573</v>
      </c>
      <c r="B2171" s="11" t="s">
        <v>8</v>
      </c>
      <c r="C2171" s="11" t="s">
        <v>5</v>
      </c>
      <c r="D2171" s="16" t="str">
        <f>HYPERLINK("https://freddywills.com/pick/1562/sd-st-7-5.html", "SD St +7.5")</f>
        <v>SD St +7.5</v>
      </c>
      <c r="E2171" s="11">
        <v>3.3</v>
      </c>
      <c r="F2171" s="11">
        <v>-1.1000000000000001</v>
      </c>
      <c r="G2171" s="11" t="s">
        <v>4</v>
      </c>
      <c r="H2171" s="13">
        <v>3000</v>
      </c>
      <c r="I2171" s="14">
        <f t="shared" si="78"/>
        <v>6.558520000000008E-2</v>
      </c>
      <c r="J2171" s="13">
        <f t="shared" si="77"/>
        <v>211316.87</v>
      </c>
    </row>
    <row r="2172" spans="1:10" x14ac:dyDescent="0.25">
      <c r="A2172" s="10">
        <v>41572</v>
      </c>
      <c r="B2172" s="11" t="s">
        <v>8</v>
      </c>
      <c r="C2172" s="11" t="s">
        <v>5</v>
      </c>
      <c r="D2172" s="16" t="str">
        <f>HYPERLINK("https://freddywills.com/pick/1563/boise-7-102.html", "Boise +7 -102")</f>
        <v>Boise +7 -102</v>
      </c>
      <c r="E2172" s="11">
        <v>4.5</v>
      </c>
      <c r="F2172" s="11">
        <v>-1.02</v>
      </c>
      <c r="G2172" s="11" t="s">
        <v>6</v>
      </c>
      <c r="H2172" s="13">
        <v>-4500</v>
      </c>
      <c r="I2172" s="14">
        <f t="shared" si="78"/>
        <v>3.5585200000000081E-2</v>
      </c>
      <c r="J2172" s="13">
        <f t="shared" ref="J2172:J2235" si="79">H2172+J2173</f>
        <v>208316.87</v>
      </c>
    </row>
    <row r="2173" spans="1:10" x14ac:dyDescent="0.25">
      <c r="A2173" s="10">
        <v>41571</v>
      </c>
      <c r="B2173" s="11" t="s">
        <v>8</v>
      </c>
      <c r="C2173" s="11" t="s">
        <v>5</v>
      </c>
      <c r="D2173" s="16" t="str">
        <f>HYPERLINK("https://freddywills.com/pick/1564/kentucky-11.html", "Kentucky +11")</f>
        <v>Kentucky +11</v>
      </c>
      <c r="E2173" s="11">
        <v>4.4000000000000004</v>
      </c>
      <c r="F2173" s="11">
        <v>-1.1000000000000001</v>
      </c>
      <c r="G2173" s="11" t="s">
        <v>4</v>
      </c>
      <c r="H2173" s="13">
        <v>4000</v>
      </c>
      <c r="I2173" s="14">
        <f t="shared" si="78"/>
        <v>8.0585200000000079E-2</v>
      </c>
      <c r="J2173" s="13">
        <f t="shared" si="79"/>
        <v>212816.87</v>
      </c>
    </row>
    <row r="2174" spans="1:10" x14ac:dyDescent="0.25">
      <c r="A2174" s="10">
        <v>41571</v>
      </c>
      <c r="B2174" s="11" t="s">
        <v>8</v>
      </c>
      <c r="C2174" s="11" t="s">
        <v>18</v>
      </c>
      <c r="D2174" s="16" t="str">
        <f>HYPERLINK("https://freddywills.com/pick/1565/kentucky-375.html", "Kentucky +375")</f>
        <v>Kentucky +375</v>
      </c>
      <c r="E2174" s="11">
        <v>1</v>
      </c>
      <c r="F2174" s="11">
        <v>3.75</v>
      </c>
      <c r="G2174" s="11" t="s">
        <v>6</v>
      </c>
      <c r="H2174" s="13">
        <v>-1000</v>
      </c>
      <c r="I2174" s="14">
        <f t="shared" si="78"/>
        <v>4.0585200000000078E-2</v>
      </c>
      <c r="J2174" s="13">
        <f t="shared" si="79"/>
        <v>208816.87</v>
      </c>
    </row>
    <row r="2175" spans="1:10" x14ac:dyDescent="0.25">
      <c r="A2175" s="10">
        <v>41571</v>
      </c>
      <c r="B2175" s="11" t="s">
        <v>2</v>
      </c>
      <c r="C2175" s="11" t="s">
        <v>5</v>
      </c>
      <c r="D2175" s="16" t="str">
        <f>HYPERLINK("https://freddywills.com/pick/1567/bucs-6-5.html", "Bucs +6.5")</f>
        <v>Bucs +6.5</v>
      </c>
      <c r="E2175" s="11">
        <v>3.3</v>
      </c>
      <c r="F2175" s="11">
        <v>-1.1000000000000001</v>
      </c>
      <c r="G2175" s="11" t="s">
        <v>6</v>
      </c>
      <c r="H2175" s="13">
        <v>-3300</v>
      </c>
      <c r="I2175" s="14">
        <f t="shared" si="78"/>
        <v>5.058520000000008E-2</v>
      </c>
      <c r="J2175" s="13">
        <f t="shared" si="79"/>
        <v>209816.87</v>
      </c>
    </row>
    <row r="2176" spans="1:10" x14ac:dyDescent="0.25">
      <c r="A2176" s="10">
        <v>41569</v>
      </c>
      <c r="B2176" s="11" t="s">
        <v>8</v>
      </c>
      <c r="C2176" s="11" t="s">
        <v>5</v>
      </c>
      <c r="D2176" s="16" t="str">
        <f>HYPERLINK("https://freddywills.com/pick/1568/lafayette-2.html", "Lafayette -2")</f>
        <v>Lafayette -2</v>
      </c>
      <c r="E2176" s="11">
        <v>3.3</v>
      </c>
      <c r="F2176" s="11">
        <v>-1.1000000000000001</v>
      </c>
      <c r="G2176" s="11" t="s">
        <v>4</v>
      </c>
      <c r="H2176" s="13">
        <v>3000</v>
      </c>
      <c r="I2176" s="14">
        <f t="shared" si="78"/>
        <v>8.3585200000000082E-2</v>
      </c>
      <c r="J2176" s="13">
        <f t="shared" si="79"/>
        <v>213116.87</v>
      </c>
    </row>
    <row r="2177" spans="1:10" x14ac:dyDescent="0.25">
      <c r="A2177" s="10">
        <v>41567</v>
      </c>
      <c r="B2177" s="11" t="s">
        <v>2</v>
      </c>
      <c r="C2177" s="11" t="s">
        <v>5</v>
      </c>
      <c r="D2177" s="16" t="str">
        <f>HYPERLINK("https://freddywills.com/pick/1570/texans-6-5.html", "Texans +6.5")</f>
        <v>Texans +6.5</v>
      </c>
      <c r="E2177" s="11">
        <v>5.5</v>
      </c>
      <c r="F2177" s="11">
        <v>-1.1000000000000001</v>
      </c>
      <c r="G2177" s="11" t="s">
        <v>4</v>
      </c>
      <c r="H2177" s="13">
        <v>5000</v>
      </c>
      <c r="I2177" s="14">
        <f t="shared" si="78"/>
        <v>5.3585200000000083E-2</v>
      </c>
      <c r="J2177" s="13">
        <f t="shared" si="79"/>
        <v>210116.87</v>
      </c>
    </row>
    <row r="2178" spans="1:10" x14ac:dyDescent="0.25">
      <c r="A2178" s="10">
        <v>41567</v>
      </c>
      <c r="B2178" s="11" t="s">
        <v>2</v>
      </c>
      <c r="C2178" s="11" t="s">
        <v>18</v>
      </c>
      <c r="D2178" s="16" t="str">
        <f>HYPERLINK("https://freddywills.com/pick/1571/texans-205.html", "Texans +205")</f>
        <v>Texans +205</v>
      </c>
      <c r="E2178" s="11">
        <v>1.5</v>
      </c>
      <c r="F2178" s="11">
        <v>2.0499999999999998</v>
      </c>
      <c r="G2178" s="11" t="s">
        <v>6</v>
      </c>
      <c r="H2178" s="13">
        <v>-1500</v>
      </c>
      <c r="I2178" s="14">
        <f t="shared" si="78"/>
        <v>3.58520000000008E-3</v>
      </c>
      <c r="J2178" s="13">
        <f t="shared" si="79"/>
        <v>205116.87</v>
      </c>
    </row>
    <row r="2179" spans="1:10" x14ac:dyDescent="0.25">
      <c r="A2179" s="10">
        <v>41567</v>
      </c>
      <c r="B2179" s="11" t="s">
        <v>2</v>
      </c>
      <c r="C2179" s="11" t="s">
        <v>5</v>
      </c>
      <c r="D2179" s="16" t="str">
        <f>HYPERLINK("https://freddywills.com/pick/1572/eagles-2-5.html", "Eagles -2.5")</f>
        <v>Eagles -2.5</v>
      </c>
      <c r="E2179" s="11">
        <v>4.4000000000000004</v>
      </c>
      <c r="F2179" s="11">
        <v>-1.1000000000000001</v>
      </c>
      <c r="G2179" s="11" t="s">
        <v>6</v>
      </c>
      <c r="H2179" s="13">
        <v>-4400</v>
      </c>
      <c r="I2179" s="14">
        <f t="shared" si="78"/>
        <v>1.8585200000000079E-2</v>
      </c>
      <c r="J2179" s="13">
        <f t="shared" si="79"/>
        <v>206616.87</v>
      </c>
    </row>
    <row r="2180" spans="1:10" x14ac:dyDescent="0.25">
      <c r="A2180" s="10">
        <v>41566</v>
      </c>
      <c r="B2180" s="11" t="s">
        <v>8</v>
      </c>
      <c r="C2180" s="11" t="s">
        <v>5</v>
      </c>
      <c r="D2180" s="16" t="str">
        <f>HYPERLINK("https://freddywills.com/pick/1573/wash-st-39.html", "Wash St +39")</f>
        <v>Wash St +39</v>
      </c>
      <c r="E2180" s="11">
        <v>5.5</v>
      </c>
      <c r="F2180" s="11">
        <v>-1.1000000000000001</v>
      </c>
      <c r="G2180" s="11" t="s">
        <v>4</v>
      </c>
      <c r="H2180" s="13">
        <v>5000</v>
      </c>
      <c r="I2180" s="14">
        <f t="shared" si="78"/>
        <v>6.2585200000000077E-2</v>
      </c>
      <c r="J2180" s="13">
        <f t="shared" si="79"/>
        <v>211016.87</v>
      </c>
    </row>
    <row r="2181" spans="1:10" x14ac:dyDescent="0.25">
      <c r="A2181" s="10">
        <v>41566</v>
      </c>
      <c r="B2181" s="11" t="s">
        <v>8</v>
      </c>
      <c r="C2181" s="11" t="s">
        <v>5</v>
      </c>
      <c r="D2181" s="16" t="str">
        <f>HYPERLINK("https://freddywills.com/pick/1574/missouri-3.html", "Missouri +3")</f>
        <v>Missouri +3</v>
      </c>
      <c r="E2181" s="11">
        <v>3.3</v>
      </c>
      <c r="F2181" s="11">
        <v>-1.1000000000000001</v>
      </c>
      <c r="G2181" s="11" t="s">
        <v>4</v>
      </c>
      <c r="H2181" s="13">
        <v>3000</v>
      </c>
      <c r="I2181" s="14">
        <f t="shared" si="78"/>
        <v>1.2585200000000078E-2</v>
      </c>
      <c r="J2181" s="13">
        <f t="shared" si="79"/>
        <v>206016.87</v>
      </c>
    </row>
    <row r="2182" spans="1:10" x14ac:dyDescent="0.25">
      <c r="A2182" s="10">
        <v>41566</v>
      </c>
      <c r="B2182" s="11" t="s">
        <v>8</v>
      </c>
      <c r="C2182" s="11" t="s">
        <v>10</v>
      </c>
      <c r="D2182" s="16" t="str">
        <f>HYPERLINK("https://freddywills.com/pick/1575/wv-12-5-byu-2-5.html", "WV +12.5 / BYU -2.5")</f>
        <v>WV +12.5 / BYU -2.5</v>
      </c>
      <c r="E2182" s="11">
        <v>4</v>
      </c>
      <c r="F2182" s="11">
        <v>-1.1000000000000001</v>
      </c>
      <c r="G2182" s="11" t="s">
        <v>6</v>
      </c>
      <c r="H2182" s="13">
        <v>-4000</v>
      </c>
      <c r="I2182" s="14">
        <f t="shared" si="78"/>
        <v>-1.7414799999999921E-2</v>
      </c>
      <c r="J2182" s="13">
        <f t="shared" si="79"/>
        <v>203016.87</v>
      </c>
    </row>
    <row r="2183" spans="1:10" x14ac:dyDescent="0.25">
      <c r="A2183" s="10">
        <v>41566</v>
      </c>
      <c r="B2183" s="11" t="s">
        <v>8</v>
      </c>
      <c r="C2183" s="11" t="s">
        <v>5</v>
      </c>
      <c r="D2183" s="16" t="str">
        <f>HYPERLINK("https://freddywills.com/pick/1576/indiana-9-5.html", "Indiana +9.5")</f>
        <v>Indiana +9.5</v>
      </c>
      <c r="E2183" s="11">
        <v>1.1000000000000001</v>
      </c>
      <c r="F2183" s="11">
        <v>-1.1000000000000001</v>
      </c>
      <c r="G2183" s="11" t="s">
        <v>6</v>
      </c>
      <c r="H2183" s="13">
        <v>-1100</v>
      </c>
      <c r="I2183" s="14">
        <f t="shared" si="78"/>
        <v>2.258520000000008E-2</v>
      </c>
      <c r="J2183" s="13">
        <f t="shared" si="79"/>
        <v>207016.87</v>
      </c>
    </row>
    <row r="2184" spans="1:10" x14ac:dyDescent="0.25">
      <c r="A2184" s="10">
        <v>41566</v>
      </c>
      <c r="B2184" s="11" t="s">
        <v>8</v>
      </c>
      <c r="C2184" s="11" t="s">
        <v>5</v>
      </c>
      <c r="D2184" s="16" t="str">
        <f>HYPERLINK("https://freddywills.com/pick/1577/clemson-3.html", "Clemson +3")</f>
        <v>Clemson +3</v>
      </c>
      <c r="E2184" s="11">
        <v>4.4000000000000004</v>
      </c>
      <c r="F2184" s="11">
        <v>-1.1000000000000001</v>
      </c>
      <c r="G2184" s="11" t="s">
        <v>6</v>
      </c>
      <c r="H2184" s="13">
        <v>-4400</v>
      </c>
      <c r="I2184" s="14">
        <f t="shared" ref="I2184:I2247" si="80">(H2184/100000)+I2185</f>
        <v>3.3585200000000079E-2</v>
      </c>
      <c r="J2184" s="13">
        <f t="shared" si="79"/>
        <v>208116.87</v>
      </c>
    </row>
    <row r="2185" spans="1:10" x14ac:dyDescent="0.25">
      <c r="A2185" s="10">
        <v>41566</v>
      </c>
      <c r="B2185" s="11" t="s">
        <v>8</v>
      </c>
      <c r="C2185" s="11" t="s">
        <v>5</v>
      </c>
      <c r="D2185" s="16" t="str">
        <f>HYPERLINK("https://freddywills.com/pick/1578/usc-3.html", "USC +3")</f>
        <v>USC +3</v>
      </c>
      <c r="E2185" s="11">
        <v>3.3</v>
      </c>
      <c r="F2185" s="11">
        <v>-1.1000000000000001</v>
      </c>
      <c r="G2185" s="11" t="s">
        <v>6</v>
      </c>
      <c r="H2185" s="13">
        <v>-3300</v>
      </c>
      <c r="I2185" s="14">
        <f t="shared" si="80"/>
        <v>7.7585200000000076E-2</v>
      </c>
      <c r="J2185" s="13">
        <f t="shared" si="79"/>
        <v>212516.87</v>
      </c>
    </row>
    <row r="2186" spans="1:10" x14ac:dyDescent="0.25">
      <c r="A2186" s="10">
        <v>41566</v>
      </c>
      <c r="B2186" s="11" t="s">
        <v>8</v>
      </c>
      <c r="C2186" s="11" t="s">
        <v>7</v>
      </c>
      <c r="D2186" s="16" t="str">
        <f>HYPERLINK("https://freddywills.com/pick/1579/byu-hou-u63.html", "BYU/HOU U63")</f>
        <v>BYU/HOU U63</v>
      </c>
      <c r="E2186" s="11">
        <v>3.3</v>
      </c>
      <c r="F2186" s="11">
        <v>-1.1000000000000001</v>
      </c>
      <c r="G2186" s="11" t="s">
        <v>6</v>
      </c>
      <c r="H2186" s="13">
        <v>-3300</v>
      </c>
      <c r="I2186" s="14">
        <f t="shared" si="80"/>
        <v>0.11058520000000008</v>
      </c>
      <c r="J2186" s="13">
        <f t="shared" si="79"/>
        <v>215816.87</v>
      </c>
    </row>
    <row r="2187" spans="1:10" x14ac:dyDescent="0.25">
      <c r="A2187" s="10">
        <v>41565</v>
      </c>
      <c r="B2187" s="11" t="s">
        <v>8</v>
      </c>
      <c r="C2187" s="11" t="s">
        <v>5</v>
      </c>
      <c r="D2187" s="16" t="str">
        <f>HYPERLINK("https://freddywills.com/pick/1580/ucf-14-5.html", "UCF +14.5")</f>
        <v>UCF +14.5</v>
      </c>
      <c r="E2187" s="11">
        <v>4.4000000000000004</v>
      </c>
      <c r="F2187" s="11">
        <v>-1.1000000000000001</v>
      </c>
      <c r="G2187" s="11" t="s">
        <v>4</v>
      </c>
      <c r="H2187" s="13">
        <v>4000</v>
      </c>
      <c r="I2187" s="14">
        <f t="shared" si="80"/>
        <v>0.14358520000000008</v>
      </c>
      <c r="J2187" s="13">
        <f t="shared" si="79"/>
        <v>219116.87</v>
      </c>
    </row>
    <row r="2188" spans="1:10" x14ac:dyDescent="0.25">
      <c r="A2188" s="10">
        <v>41564</v>
      </c>
      <c r="B2188" s="11" t="s">
        <v>8</v>
      </c>
      <c r="C2188" s="11" t="s">
        <v>18</v>
      </c>
      <c r="D2188" s="16" t="str">
        <f>HYPERLINK("https://freddywills.com/pick/1582/north-carolina-10-115.html", "North Carolina +10 -115")</f>
        <v>North Carolina +10 -115</v>
      </c>
      <c r="E2188" s="11">
        <v>4</v>
      </c>
      <c r="F2188" s="11">
        <v>-1.1499999999999999</v>
      </c>
      <c r="G2188" s="11" t="s">
        <v>4</v>
      </c>
      <c r="H2188" s="13">
        <v>3478.26</v>
      </c>
      <c r="I2188" s="14">
        <f t="shared" si="80"/>
        <v>0.10358520000000007</v>
      </c>
      <c r="J2188" s="13">
        <f t="shared" si="79"/>
        <v>215116.87</v>
      </c>
    </row>
    <row r="2189" spans="1:10" x14ac:dyDescent="0.25">
      <c r="A2189" s="10">
        <v>41564</v>
      </c>
      <c r="B2189" s="11" t="s">
        <v>2</v>
      </c>
      <c r="C2189" s="11" t="s">
        <v>5</v>
      </c>
      <c r="D2189" s="16" t="str">
        <f>HYPERLINK("https://freddywills.com/pick/1583/cardinals-7.html", "Cardinals +7")</f>
        <v>Cardinals +7</v>
      </c>
      <c r="E2189" s="11">
        <v>5.5</v>
      </c>
      <c r="F2189" s="11">
        <v>-1.1000000000000001</v>
      </c>
      <c r="G2189" s="11" t="s">
        <v>6</v>
      </c>
      <c r="H2189" s="13">
        <v>-5500</v>
      </c>
      <c r="I2189" s="14">
        <f t="shared" si="80"/>
        <v>6.8802600000000075E-2</v>
      </c>
      <c r="J2189" s="13">
        <f t="shared" si="79"/>
        <v>211638.61</v>
      </c>
    </row>
    <row r="2190" spans="1:10" x14ac:dyDescent="0.25">
      <c r="A2190" s="10">
        <v>41564</v>
      </c>
      <c r="B2190" s="11" t="s">
        <v>2</v>
      </c>
      <c r="C2190" s="11" t="s">
        <v>18</v>
      </c>
      <c r="D2190" s="16" t="str">
        <f>HYPERLINK("https://freddywills.com/pick/1584/cardinals-235.html", "Cardinals +235")</f>
        <v>Cardinals +235</v>
      </c>
      <c r="E2190" s="11">
        <v>1</v>
      </c>
      <c r="F2190" s="11">
        <v>2.35</v>
      </c>
      <c r="G2190" s="11" t="s">
        <v>6</v>
      </c>
      <c r="H2190" s="13">
        <v>-1000</v>
      </c>
      <c r="I2190" s="14">
        <f t="shared" si="80"/>
        <v>0.12380260000000008</v>
      </c>
      <c r="J2190" s="13">
        <f t="shared" si="79"/>
        <v>217138.61</v>
      </c>
    </row>
    <row r="2191" spans="1:10" x14ac:dyDescent="0.25">
      <c r="A2191" s="10">
        <v>41562</v>
      </c>
      <c r="B2191" s="11" t="s">
        <v>8</v>
      </c>
      <c r="C2191" s="11" t="s">
        <v>5</v>
      </c>
      <c r="D2191" s="16" t="str">
        <f>HYPERLINK("https://freddywills.com/pick/1586/la-lafayette-4-5.html", "LA Lafayette +4.5")</f>
        <v>LA Lafayette +4.5</v>
      </c>
      <c r="E2191" s="11">
        <v>3.3</v>
      </c>
      <c r="F2191" s="11">
        <v>-1.1000000000000001</v>
      </c>
      <c r="G2191" s="11" t="s">
        <v>4</v>
      </c>
      <c r="H2191" s="13">
        <v>3000</v>
      </c>
      <c r="I2191" s="14">
        <f t="shared" si="80"/>
        <v>0.13380260000000008</v>
      </c>
      <c r="J2191" s="13">
        <f t="shared" si="79"/>
        <v>218138.61</v>
      </c>
    </row>
    <row r="2192" spans="1:10" x14ac:dyDescent="0.25">
      <c r="A2192" s="10">
        <v>41561</v>
      </c>
      <c r="B2192" s="11" t="s">
        <v>2</v>
      </c>
      <c r="C2192" s="11" t="s">
        <v>18</v>
      </c>
      <c r="D2192" s="16" t="str">
        <f>HYPERLINK("https://freddywills.com/pick/1589/chargers-115.html", "Chargers +115")</f>
        <v>Chargers +115</v>
      </c>
      <c r="E2192" s="11">
        <v>5.5</v>
      </c>
      <c r="F2192" s="11">
        <v>1.1499999999999999</v>
      </c>
      <c r="G2192" s="11" t="s">
        <v>4</v>
      </c>
      <c r="H2192" s="13">
        <v>6325</v>
      </c>
      <c r="I2192" s="14">
        <f t="shared" si="80"/>
        <v>0.10380260000000008</v>
      </c>
      <c r="J2192" s="13">
        <f t="shared" si="79"/>
        <v>215138.61</v>
      </c>
    </row>
    <row r="2193" spans="1:10" x14ac:dyDescent="0.25">
      <c r="A2193" s="10">
        <v>41560</v>
      </c>
      <c r="B2193" s="11" t="s">
        <v>2</v>
      </c>
      <c r="C2193" s="11" t="s">
        <v>5</v>
      </c>
      <c r="D2193" s="16" t="str">
        <f>HYPERLINK("https://freddywills.com/pick/1590/raiders-9.html", "Raiders +9")</f>
        <v>Raiders +9</v>
      </c>
      <c r="E2193" s="11">
        <v>5.5</v>
      </c>
      <c r="F2193" s="11">
        <v>-1.1000000000000001</v>
      </c>
      <c r="G2193" s="11" t="s">
        <v>6</v>
      </c>
      <c r="H2193" s="13">
        <v>-5500</v>
      </c>
      <c r="I2193" s="14">
        <f t="shared" si="80"/>
        <v>4.0552600000000071E-2</v>
      </c>
      <c r="J2193" s="13">
        <f t="shared" si="79"/>
        <v>208813.61</v>
      </c>
    </row>
    <row r="2194" spans="1:10" x14ac:dyDescent="0.25">
      <c r="A2194" s="10">
        <v>41560</v>
      </c>
      <c r="B2194" s="11" t="s">
        <v>2</v>
      </c>
      <c r="C2194" s="11" t="s">
        <v>5</v>
      </c>
      <c r="D2194" s="16" t="str">
        <f>HYPERLINK("https://freddywills.com/pick/1591/cardinals-10-5.html", "Cardinals +10.5")</f>
        <v>Cardinals +10.5</v>
      </c>
      <c r="E2194" s="11">
        <v>3.3</v>
      </c>
      <c r="F2194" s="11">
        <v>-1.1000000000000001</v>
      </c>
      <c r="G2194" s="11" t="s">
        <v>6</v>
      </c>
      <c r="H2194" s="13">
        <v>-3300</v>
      </c>
      <c r="I2194" s="14">
        <f t="shared" si="80"/>
        <v>9.5552600000000071E-2</v>
      </c>
      <c r="J2194" s="13">
        <f t="shared" si="79"/>
        <v>214313.61</v>
      </c>
    </row>
    <row r="2195" spans="1:10" x14ac:dyDescent="0.25">
      <c r="A2195" s="10">
        <v>41560</v>
      </c>
      <c r="B2195" s="11" t="s">
        <v>2</v>
      </c>
      <c r="C2195" s="11" t="s">
        <v>10</v>
      </c>
      <c r="D2195" s="16" t="str">
        <f>HYPERLINK("https://freddywills.com/pick/1592/texans-saints-teaser.html", "Texans/Saints Teaser")</f>
        <v>Texans/Saints Teaser</v>
      </c>
      <c r="E2195" s="11">
        <v>4.5</v>
      </c>
      <c r="F2195" s="11">
        <v>-1.1000000000000001</v>
      </c>
      <c r="G2195" s="11" t="s">
        <v>6</v>
      </c>
      <c r="H2195" s="13">
        <v>-4500</v>
      </c>
      <c r="I2195" s="14">
        <f t="shared" si="80"/>
        <v>0.12855260000000007</v>
      </c>
      <c r="J2195" s="13">
        <f t="shared" si="79"/>
        <v>217613.61</v>
      </c>
    </row>
    <row r="2196" spans="1:10" x14ac:dyDescent="0.25">
      <c r="A2196" s="10">
        <v>41560</v>
      </c>
      <c r="B2196" s="11" t="s">
        <v>2</v>
      </c>
      <c r="C2196" s="11" t="s">
        <v>5</v>
      </c>
      <c r="D2196" s="16" t="str">
        <f>HYPERLINK("https://freddywills.com/pick/1593/browns-3-120.html", "Browns +3 -120")</f>
        <v>Browns +3 -120</v>
      </c>
      <c r="E2196" s="11">
        <v>3.5</v>
      </c>
      <c r="F2196" s="11">
        <v>-1.2</v>
      </c>
      <c r="G2196" s="11" t="s">
        <v>6</v>
      </c>
      <c r="H2196" s="13">
        <v>-3500</v>
      </c>
      <c r="I2196" s="14">
        <f t="shared" si="80"/>
        <v>0.17355260000000008</v>
      </c>
      <c r="J2196" s="13">
        <f t="shared" si="79"/>
        <v>222113.61</v>
      </c>
    </row>
    <row r="2197" spans="1:10" x14ac:dyDescent="0.25">
      <c r="A2197" s="10">
        <v>41560</v>
      </c>
      <c r="B2197" s="11" t="s">
        <v>2</v>
      </c>
      <c r="C2197" s="11" t="s">
        <v>5</v>
      </c>
      <c r="D2197" s="16" t="str">
        <f>HYPERLINK("https://freddywills.com/pick/1594/redskins-5-5.html", "Redskins +5.5")</f>
        <v>Redskins +5.5</v>
      </c>
      <c r="E2197" s="11">
        <v>4.4000000000000004</v>
      </c>
      <c r="F2197" s="11">
        <v>-1.1000000000000001</v>
      </c>
      <c r="G2197" s="11" t="s">
        <v>6</v>
      </c>
      <c r="H2197" s="13">
        <v>-4400</v>
      </c>
      <c r="I2197" s="14">
        <f t="shared" si="80"/>
        <v>0.20855260000000009</v>
      </c>
      <c r="J2197" s="13">
        <f t="shared" si="79"/>
        <v>225613.61</v>
      </c>
    </row>
    <row r="2198" spans="1:10" x14ac:dyDescent="0.25">
      <c r="A2198" s="10">
        <v>41559</v>
      </c>
      <c r="B2198" s="11" t="s">
        <v>8</v>
      </c>
      <c r="C2198" s="11" t="s">
        <v>5</v>
      </c>
      <c r="D2198" s="16" t="str">
        <f>HYPERLINK("https://freddywills.com/pick/1596/memphis-10-120.html", "Memphis +10 -120")</f>
        <v>Memphis +10 -120</v>
      </c>
      <c r="E2198" s="11">
        <v>2.5</v>
      </c>
      <c r="F2198" s="11">
        <v>-1.1000000000000001</v>
      </c>
      <c r="G2198" s="11" t="s">
        <v>9</v>
      </c>
      <c r="H2198" s="13">
        <v>0</v>
      </c>
      <c r="I2198" s="14">
        <f t="shared" si="80"/>
        <v>0.25255260000000007</v>
      </c>
      <c r="J2198" s="13">
        <f t="shared" si="79"/>
        <v>230013.61</v>
      </c>
    </row>
    <row r="2199" spans="1:10" x14ac:dyDescent="0.25">
      <c r="A2199" s="10">
        <v>41559</v>
      </c>
      <c r="B2199" s="11" t="s">
        <v>8</v>
      </c>
      <c r="C2199" s="11" t="s">
        <v>5</v>
      </c>
      <c r="D2199" s="16" t="str">
        <f>HYPERLINK("https://freddywills.com/pick/1597/kansas-state-17-5.html", "Kansas State +17.5")</f>
        <v>Kansas State +17.5</v>
      </c>
      <c r="E2199" s="11">
        <v>4.4000000000000004</v>
      </c>
      <c r="F2199" s="11">
        <v>-1.1000000000000001</v>
      </c>
      <c r="G2199" s="11" t="s">
        <v>4</v>
      </c>
      <c r="H2199" s="13">
        <v>4000</v>
      </c>
      <c r="I2199" s="14">
        <f t="shared" si="80"/>
        <v>0.25255260000000007</v>
      </c>
      <c r="J2199" s="13">
        <f t="shared" si="79"/>
        <v>230013.61</v>
      </c>
    </row>
    <row r="2200" spans="1:10" x14ac:dyDescent="0.25">
      <c r="A2200" s="10">
        <v>41559</v>
      </c>
      <c r="B2200" s="11" t="s">
        <v>8</v>
      </c>
      <c r="C2200" s="11" t="s">
        <v>18</v>
      </c>
      <c r="D2200" s="16" t="str">
        <f>HYPERLINK("https://freddywills.com/pick/1598/kansas-st-700.html", "Kansas St +700")</f>
        <v>Kansas St +700</v>
      </c>
      <c r="E2200" s="11">
        <v>1</v>
      </c>
      <c r="F2200" s="11">
        <v>7</v>
      </c>
      <c r="G2200" s="11" t="s">
        <v>6</v>
      </c>
      <c r="H2200" s="13">
        <v>-1000</v>
      </c>
      <c r="I2200" s="14">
        <f t="shared" si="80"/>
        <v>0.21255260000000009</v>
      </c>
      <c r="J2200" s="13">
        <f t="shared" si="79"/>
        <v>226013.61</v>
      </c>
    </row>
    <row r="2201" spans="1:10" x14ac:dyDescent="0.25">
      <c r="A2201" s="10">
        <v>41559</v>
      </c>
      <c r="B2201" s="11" t="s">
        <v>8</v>
      </c>
      <c r="C2201" s="11" t="s">
        <v>5</v>
      </c>
      <c r="D2201" s="16" t="str">
        <f>HYPERLINK("https://freddywills.com/pick/1599/washington-14.html", "Washington +14")</f>
        <v>Washington +14</v>
      </c>
      <c r="E2201" s="11">
        <v>4.4000000000000004</v>
      </c>
      <c r="F2201" s="11">
        <v>-1.1000000000000001</v>
      </c>
      <c r="G2201" s="11" t="s">
        <v>6</v>
      </c>
      <c r="H2201" s="13">
        <v>-4400</v>
      </c>
      <c r="I2201" s="14">
        <f t="shared" si="80"/>
        <v>0.2225526000000001</v>
      </c>
      <c r="J2201" s="13">
        <f t="shared" si="79"/>
        <v>227013.61</v>
      </c>
    </row>
    <row r="2202" spans="1:10" x14ac:dyDescent="0.25">
      <c r="A2202" s="10">
        <v>41559</v>
      </c>
      <c r="B2202" s="11" t="s">
        <v>8</v>
      </c>
      <c r="C2202" s="11" t="s">
        <v>18</v>
      </c>
      <c r="D2202" s="16" t="str">
        <f>HYPERLINK("https://freddywills.com/pick/1600/washington-470.html", "Washington +470")</f>
        <v>Washington +470</v>
      </c>
      <c r="E2202" s="11">
        <v>1</v>
      </c>
      <c r="F2202" s="11">
        <v>4.7</v>
      </c>
      <c r="G2202" s="11" t="s">
        <v>6</v>
      </c>
      <c r="H2202" s="13">
        <v>-1000</v>
      </c>
      <c r="I2202" s="14">
        <f t="shared" si="80"/>
        <v>0.26655260000000008</v>
      </c>
      <c r="J2202" s="13">
        <f t="shared" si="79"/>
        <v>231413.61</v>
      </c>
    </row>
    <row r="2203" spans="1:10" x14ac:dyDescent="0.25">
      <c r="A2203" s="10">
        <v>41559</v>
      </c>
      <c r="B2203" s="11" t="s">
        <v>8</v>
      </c>
      <c r="C2203" s="11" t="s">
        <v>5</v>
      </c>
      <c r="D2203" s="16" t="str">
        <f>HYPERLINK("https://freddywills.com/pick/1601/ole-miss-6.html", "Ole Miss +6")</f>
        <v>Ole Miss +6</v>
      </c>
      <c r="E2203" s="11">
        <v>5.5</v>
      </c>
      <c r="F2203" s="11">
        <v>-1.1000000000000001</v>
      </c>
      <c r="G2203" s="11" t="s">
        <v>4</v>
      </c>
      <c r="H2203" s="13">
        <v>5000</v>
      </c>
      <c r="I2203" s="14">
        <f t="shared" si="80"/>
        <v>0.27655260000000009</v>
      </c>
      <c r="J2203" s="13">
        <f t="shared" si="79"/>
        <v>232413.61</v>
      </c>
    </row>
    <row r="2204" spans="1:10" x14ac:dyDescent="0.25">
      <c r="A2204" s="10">
        <v>41559</v>
      </c>
      <c r="B2204" s="11" t="s">
        <v>8</v>
      </c>
      <c r="C2204" s="11" t="s">
        <v>5</v>
      </c>
      <c r="D2204" s="16" t="str">
        <f>HYPERLINK("https://freddywills.com/pick/1602/utah-8.html", "Utah +8")</f>
        <v>Utah +8</v>
      </c>
      <c r="E2204" s="11">
        <v>3.3</v>
      </c>
      <c r="F2204" s="11">
        <v>-1.1000000000000001</v>
      </c>
      <c r="G2204" s="11" t="s">
        <v>4</v>
      </c>
      <c r="H2204" s="13">
        <v>3000</v>
      </c>
      <c r="I2204" s="14">
        <f t="shared" si="80"/>
        <v>0.2265526000000001</v>
      </c>
      <c r="J2204" s="13">
        <f t="shared" si="79"/>
        <v>227413.61</v>
      </c>
    </row>
    <row r="2205" spans="1:10" x14ac:dyDescent="0.25">
      <c r="A2205" s="10">
        <v>41559</v>
      </c>
      <c r="B2205" s="11" t="s">
        <v>8</v>
      </c>
      <c r="C2205" s="11" t="s">
        <v>5</v>
      </c>
      <c r="D2205" s="16" t="str">
        <f>HYPERLINK("https://freddywills.com/pick/1603/missouri-7-5.html", "Missouri +7.5")</f>
        <v>Missouri +7.5</v>
      </c>
      <c r="E2205" s="11">
        <v>4.4000000000000004</v>
      </c>
      <c r="F2205" s="11">
        <v>-1.1000000000000001</v>
      </c>
      <c r="G2205" s="11" t="s">
        <v>4</v>
      </c>
      <c r="H2205" s="13">
        <v>4000</v>
      </c>
      <c r="I2205" s="14">
        <f t="shared" si="80"/>
        <v>0.19655260000000011</v>
      </c>
      <c r="J2205" s="13">
        <f t="shared" si="79"/>
        <v>224413.61</v>
      </c>
    </row>
    <row r="2206" spans="1:10" x14ac:dyDescent="0.25">
      <c r="A2206" s="10">
        <v>41559</v>
      </c>
      <c r="B2206" s="11" t="s">
        <v>8</v>
      </c>
      <c r="C2206" s="11" t="s">
        <v>10</v>
      </c>
      <c r="D2206" s="16" t="str">
        <f>HYPERLINK("https://freddywills.com/pick/1604/lsu-0-5-wisc-3-130.html", "LSU -0.5 / Wisc -3 -130")</f>
        <v>LSU -0.5 / Wisc -3 -130</v>
      </c>
      <c r="E2206" s="11">
        <v>4.5</v>
      </c>
      <c r="F2206" s="11">
        <v>-1.1000000000000001</v>
      </c>
      <c r="G2206" s="11" t="s">
        <v>4</v>
      </c>
      <c r="H2206" s="13">
        <v>4090.91</v>
      </c>
      <c r="I2206" s="14">
        <f t="shared" si="80"/>
        <v>0.1565526000000001</v>
      </c>
      <c r="J2206" s="13">
        <f t="shared" si="79"/>
        <v>220413.61</v>
      </c>
    </row>
    <row r="2207" spans="1:10" x14ac:dyDescent="0.25">
      <c r="A2207" s="10">
        <v>41558</v>
      </c>
      <c r="B2207" s="11" t="s">
        <v>8</v>
      </c>
      <c r="C2207" s="11" t="s">
        <v>7</v>
      </c>
      <c r="D2207" s="16" t="str">
        <f>HYPERLINK("https://freddywills.com/pick/1606/cin-temple-u51.html", "CIN/Temple U51")</f>
        <v>CIN/Temple U51</v>
      </c>
      <c r="E2207" s="11">
        <v>3.3</v>
      </c>
      <c r="F2207" s="11">
        <v>-1.1000000000000001</v>
      </c>
      <c r="G2207" s="11" t="s">
        <v>6</v>
      </c>
      <c r="H2207" s="13">
        <v>-3300</v>
      </c>
      <c r="I2207" s="14">
        <f t="shared" si="80"/>
        <v>0.11564350000000009</v>
      </c>
      <c r="J2207" s="13">
        <f t="shared" si="79"/>
        <v>216322.69999999998</v>
      </c>
    </row>
    <row r="2208" spans="1:10" x14ac:dyDescent="0.25">
      <c r="A2208" s="10">
        <v>41557</v>
      </c>
      <c r="B2208" s="11" t="s">
        <v>2</v>
      </c>
      <c r="C2208" s="11" t="s">
        <v>18</v>
      </c>
      <c r="D2208" s="16" t="str">
        <f>HYPERLINK("https://freddywills.com/pick/1608/giants-290.html", "Giants +290")</f>
        <v>Giants +290</v>
      </c>
      <c r="E2208" s="11">
        <v>1</v>
      </c>
      <c r="F2208" s="11">
        <v>2.9</v>
      </c>
      <c r="G2208" s="11" t="s">
        <v>6</v>
      </c>
      <c r="H2208" s="13">
        <v>-1000</v>
      </c>
      <c r="I2208" s="14">
        <f t="shared" si="80"/>
        <v>0.14864350000000009</v>
      </c>
      <c r="J2208" s="13">
        <f t="shared" si="79"/>
        <v>219622.69999999998</v>
      </c>
    </row>
    <row r="2209" spans="1:10" x14ac:dyDescent="0.25">
      <c r="A2209" s="10">
        <v>41557</v>
      </c>
      <c r="B2209" s="11" t="s">
        <v>2</v>
      </c>
      <c r="C2209" s="11" t="s">
        <v>10</v>
      </c>
      <c r="D2209" s="16" t="str">
        <f>HYPERLINK("https://freddywills.com/pick/1609/giants-14-5-over-40-5-120.html", "Giants +14.5 / Over 40.5 -120")</f>
        <v>Giants +14.5 / Over 40.5 -120</v>
      </c>
      <c r="E2209" s="11">
        <v>3.5</v>
      </c>
      <c r="F2209" s="11">
        <v>-1.1000000000000001</v>
      </c>
      <c r="G2209" s="11" t="s">
        <v>4</v>
      </c>
      <c r="H2209" s="13">
        <v>3181.82</v>
      </c>
      <c r="I2209" s="14">
        <f t="shared" si="80"/>
        <v>0.1586435000000001</v>
      </c>
      <c r="J2209" s="13">
        <f t="shared" si="79"/>
        <v>220622.69999999998</v>
      </c>
    </row>
    <row r="2210" spans="1:10" x14ac:dyDescent="0.25">
      <c r="A2210" s="10">
        <v>41557</v>
      </c>
      <c r="B2210" s="11" t="s">
        <v>8</v>
      </c>
      <c r="C2210" s="11" t="s">
        <v>5</v>
      </c>
      <c r="D2210" s="16" t="str">
        <f>HYPERLINK("https://freddywills.com/pick/1610/usc-6.html", "USC -6")</f>
        <v>USC -6</v>
      </c>
      <c r="E2210" s="11">
        <v>4.4000000000000004</v>
      </c>
      <c r="F2210" s="11">
        <v>-1.1000000000000001</v>
      </c>
      <c r="G2210" s="11" t="s">
        <v>4</v>
      </c>
      <c r="H2210" s="13">
        <v>4000</v>
      </c>
      <c r="I2210" s="14">
        <f t="shared" si="80"/>
        <v>0.12682530000000009</v>
      </c>
      <c r="J2210" s="13">
        <f t="shared" si="79"/>
        <v>217440.87999999998</v>
      </c>
    </row>
    <row r="2211" spans="1:10" x14ac:dyDescent="0.25">
      <c r="A2211" s="10">
        <v>41553</v>
      </c>
      <c r="B2211" s="11" t="s">
        <v>2</v>
      </c>
      <c r="C2211" s="11" t="s">
        <v>5</v>
      </c>
      <c r="D2211" s="16" t="str">
        <f>HYPERLINK("https://freddywills.com/pick/1614/cowboys-8-5.html", "Cowboys +8.5")</f>
        <v>Cowboys +8.5</v>
      </c>
      <c r="E2211" s="11">
        <v>3.3</v>
      </c>
      <c r="F2211" s="11">
        <v>-1.1000000000000001</v>
      </c>
      <c r="G2211" s="11" t="s">
        <v>4</v>
      </c>
      <c r="H2211" s="13">
        <v>3000</v>
      </c>
      <c r="I2211" s="14">
        <f t="shared" si="80"/>
        <v>8.6825300000000077E-2</v>
      </c>
      <c r="J2211" s="13">
        <f t="shared" si="79"/>
        <v>213440.87999999998</v>
      </c>
    </row>
    <row r="2212" spans="1:10" x14ac:dyDescent="0.25">
      <c r="A2212" s="10">
        <v>41553</v>
      </c>
      <c r="B2212" s="11" t="s">
        <v>2</v>
      </c>
      <c r="C2212" s="11" t="s">
        <v>5</v>
      </c>
      <c r="D2212" s="16" t="str">
        <f>HYPERLINK("https://freddywills.com/pick/1615/bengals-pk.html", "Bengals pk")</f>
        <v>Bengals pk</v>
      </c>
      <c r="E2212" s="11">
        <v>2.2000000000000002</v>
      </c>
      <c r="F2212" s="11">
        <v>-1.1000000000000001</v>
      </c>
      <c r="G2212" s="11" t="s">
        <v>4</v>
      </c>
      <c r="H2212" s="13">
        <v>2000</v>
      </c>
      <c r="I2212" s="14">
        <f t="shared" si="80"/>
        <v>5.6825300000000079E-2</v>
      </c>
      <c r="J2212" s="13">
        <f t="shared" si="79"/>
        <v>210440.87999999998</v>
      </c>
    </row>
    <row r="2213" spans="1:10" x14ac:dyDescent="0.25">
      <c r="A2213" s="10">
        <v>41553</v>
      </c>
      <c r="B2213" s="11" t="s">
        <v>2</v>
      </c>
      <c r="C2213" s="11" t="s">
        <v>5</v>
      </c>
      <c r="D2213" s="16" t="str">
        <f>HYPERLINK("https://freddywills.com/pick/1616/titans-3.html", "Titans +3")</f>
        <v>Titans +3</v>
      </c>
      <c r="E2213" s="11">
        <v>5.5</v>
      </c>
      <c r="F2213" s="11">
        <v>-1.1000000000000001</v>
      </c>
      <c r="G2213" s="11" t="s">
        <v>6</v>
      </c>
      <c r="H2213" s="13">
        <v>-5500</v>
      </c>
      <c r="I2213" s="14">
        <f t="shared" si="80"/>
        <v>3.6825300000000082E-2</v>
      </c>
      <c r="J2213" s="13">
        <f t="shared" si="79"/>
        <v>208440.87999999998</v>
      </c>
    </row>
    <row r="2214" spans="1:10" x14ac:dyDescent="0.25">
      <c r="A2214" s="10">
        <v>41553</v>
      </c>
      <c r="B2214" s="11" t="s">
        <v>2</v>
      </c>
      <c r="C2214" s="11" t="s">
        <v>5</v>
      </c>
      <c r="D2214" s="16" t="str">
        <f>HYPERLINK("https://freddywills.com/pick/1617/colts-3-115.html", "Colts +3 -115")</f>
        <v>Colts +3 -115</v>
      </c>
      <c r="E2214" s="11">
        <v>4.5</v>
      </c>
      <c r="F2214" s="11">
        <v>-1.1000000000000001</v>
      </c>
      <c r="G2214" s="11" t="s">
        <v>4</v>
      </c>
      <c r="H2214" s="13">
        <v>4090.91</v>
      </c>
      <c r="I2214" s="14">
        <f t="shared" si="80"/>
        <v>9.1825300000000082E-2</v>
      </c>
      <c r="J2214" s="13">
        <f t="shared" si="79"/>
        <v>213940.87999999998</v>
      </c>
    </row>
    <row r="2215" spans="1:10" x14ac:dyDescent="0.25">
      <c r="A2215" s="10">
        <v>41552</v>
      </c>
      <c r="B2215" s="11" t="s">
        <v>8</v>
      </c>
      <c r="C2215" s="11" t="s">
        <v>5</v>
      </c>
      <c r="D2215" s="16" t="str">
        <f>HYPERLINK("https://freddywills.com/pick/1620/northwestern-7-5-115.html", "Northwestern +7.5 -115")</f>
        <v>Northwestern +7.5 -115</v>
      </c>
      <c r="E2215" s="11">
        <v>4.5</v>
      </c>
      <c r="F2215" s="11">
        <v>-1.1499999999999999</v>
      </c>
      <c r="G2215" s="11" t="s">
        <v>6</v>
      </c>
      <c r="H2215" s="13">
        <v>-4500</v>
      </c>
      <c r="I2215" s="14">
        <f t="shared" si="80"/>
        <v>5.0916200000000078E-2</v>
      </c>
      <c r="J2215" s="13">
        <f t="shared" si="79"/>
        <v>209849.96999999997</v>
      </c>
    </row>
    <row r="2216" spans="1:10" x14ac:dyDescent="0.25">
      <c r="A2216" s="10">
        <v>41552</v>
      </c>
      <c r="B2216" s="11" t="s">
        <v>8</v>
      </c>
      <c r="C2216" s="11" t="s">
        <v>10</v>
      </c>
      <c r="D2216" s="16" t="str">
        <f>HYPERLINK("https://freddywills.com/pick/1621/lsu-1-stanford-1-5.html", "LSU -1/ Stanford -1.5")</f>
        <v>LSU -1/ Stanford -1.5</v>
      </c>
      <c r="E2216" s="11">
        <v>3.3</v>
      </c>
      <c r="F2216" s="11">
        <v>-1.1000000000000001</v>
      </c>
      <c r="G2216" s="11" t="s">
        <v>4</v>
      </c>
      <c r="H2216" s="13">
        <v>3000</v>
      </c>
      <c r="I2216" s="14">
        <f t="shared" si="80"/>
        <v>9.5916200000000076E-2</v>
      </c>
      <c r="J2216" s="13">
        <f t="shared" si="79"/>
        <v>214349.96999999997</v>
      </c>
    </row>
    <row r="2217" spans="1:10" x14ac:dyDescent="0.25">
      <c r="A2217" s="10">
        <v>41552</v>
      </c>
      <c r="B2217" s="11" t="s">
        <v>8</v>
      </c>
      <c r="C2217" s="11" t="s">
        <v>5</v>
      </c>
      <c r="D2217" s="16" t="str">
        <f>HYPERLINK("https://freddywills.com/pick/1622/tennessee-10-5.html", "Tennessee +10.5")</f>
        <v>Tennessee +10.5</v>
      </c>
      <c r="E2217" s="11">
        <v>4.4000000000000004</v>
      </c>
      <c r="F2217" s="11">
        <v>-1.1000000000000001</v>
      </c>
      <c r="G2217" s="11" t="s">
        <v>4</v>
      </c>
      <c r="H2217" s="13">
        <v>4000</v>
      </c>
      <c r="I2217" s="14">
        <f t="shared" si="80"/>
        <v>6.5916200000000078E-2</v>
      </c>
      <c r="J2217" s="13">
        <f t="shared" si="79"/>
        <v>211349.96999999997</v>
      </c>
    </row>
    <row r="2218" spans="1:10" x14ac:dyDescent="0.25">
      <c r="A2218" s="10">
        <v>41552</v>
      </c>
      <c r="B2218" s="11" t="s">
        <v>8</v>
      </c>
      <c r="C2218" s="11" t="s">
        <v>18</v>
      </c>
      <c r="D2218" s="16" t="str">
        <f>HYPERLINK("https://freddywills.com/pick/1623/tennessee-360.html", "Tennessee +360")</f>
        <v>Tennessee +360</v>
      </c>
      <c r="E2218" s="11">
        <v>1</v>
      </c>
      <c r="F2218" s="11">
        <v>3.6</v>
      </c>
      <c r="G2218" s="11" t="s">
        <v>6</v>
      </c>
      <c r="H2218" s="13">
        <v>-1000</v>
      </c>
      <c r="I2218" s="14">
        <f t="shared" si="80"/>
        <v>2.5916200000000077E-2</v>
      </c>
      <c r="J2218" s="13">
        <f t="shared" si="79"/>
        <v>207349.96999999997</v>
      </c>
    </row>
    <row r="2219" spans="1:10" x14ac:dyDescent="0.25">
      <c r="A2219" s="10">
        <v>41552</v>
      </c>
      <c r="B2219" s="11" t="s">
        <v>8</v>
      </c>
      <c r="C2219" s="11" t="s">
        <v>5</v>
      </c>
      <c r="D2219" s="16" t="str">
        <f>HYPERLINK("https://freddywills.com/pick/1624/army-11-5.html", "Army +11.5")</f>
        <v>Army +11.5</v>
      </c>
      <c r="E2219" s="11">
        <v>1.1000000000000001</v>
      </c>
      <c r="F2219" s="11">
        <v>-1.1000000000000001</v>
      </c>
      <c r="G2219" s="11" t="s">
        <v>6</v>
      </c>
      <c r="H2219" s="13">
        <v>-1100</v>
      </c>
      <c r="I2219" s="14">
        <f t="shared" si="80"/>
        <v>3.5916200000000079E-2</v>
      </c>
      <c r="J2219" s="13">
        <f t="shared" si="79"/>
        <v>208349.96999999997</v>
      </c>
    </row>
    <row r="2220" spans="1:10" x14ac:dyDescent="0.25">
      <c r="A2220" s="10">
        <v>41552</v>
      </c>
      <c r="B2220" s="11" t="s">
        <v>8</v>
      </c>
      <c r="C2220" s="11" t="s">
        <v>5</v>
      </c>
      <c r="D2220" s="16" t="str">
        <f>HYPERLINK("https://freddywills.com/pick/1625/michigan-state-pk.html", "Michigan State pk")</f>
        <v>Michigan State pk</v>
      </c>
      <c r="E2220" s="11">
        <v>5.5</v>
      </c>
      <c r="F2220" s="11">
        <v>-1.1000000000000001</v>
      </c>
      <c r="G2220" s="11" t="s">
        <v>4</v>
      </c>
      <c r="H2220" s="13">
        <v>5000</v>
      </c>
      <c r="I2220" s="14">
        <f t="shared" si="80"/>
        <v>4.6916200000000075E-2</v>
      </c>
      <c r="J2220" s="13">
        <f t="shared" si="79"/>
        <v>209449.96999999997</v>
      </c>
    </row>
    <row r="2221" spans="1:10" x14ac:dyDescent="0.25">
      <c r="A2221" s="10">
        <v>41552</v>
      </c>
      <c r="B2221" s="11" t="s">
        <v>8</v>
      </c>
      <c r="C2221" s="11" t="s">
        <v>5</v>
      </c>
      <c r="D2221" s="16" t="str">
        <f>HYPERLINK("https://freddywills.com/pick/1626/mtsu-7-5.html", "MTSU +7.5")</f>
        <v>MTSU +7.5</v>
      </c>
      <c r="E2221" s="11">
        <v>3.3</v>
      </c>
      <c r="F2221" s="11">
        <v>-1.1000000000000001</v>
      </c>
      <c r="G2221" s="11" t="s">
        <v>4</v>
      </c>
      <c r="H2221" s="13">
        <v>3000</v>
      </c>
      <c r="I2221" s="14">
        <f t="shared" si="80"/>
        <v>-3.0837999999999283E-3</v>
      </c>
      <c r="J2221" s="13">
        <f t="shared" si="79"/>
        <v>204449.96999999997</v>
      </c>
    </row>
    <row r="2222" spans="1:10" x14ac:dyDescent="0.25">
      <c r="A2222" s="10">
        <v>41552</v>
      </c>
      <c r="B2222" s="11" t="s">
        <v>8</v>
      </c>
      <c r="C2222" s="11" t="s">
        <v>5</v>
      </c>
      <c r="D2222" s="16" t="str">
        <f>HYPERLINK("https://freddywills.com/pick/1627/wake-forest-7-5.html", "Wake Forest +7.5")</f>
        <v>Wake Forest +7.5</v>
      </c>
      <c r="E2222" s="11">
        <v>3.3</v>
      </c>
      <c r="F2222" s="11">
        <v>-1.1000000000000001</v>
      </c>
      <c r="G2222" s="11" t="s">
        <v>4</v>
      </c>
      <c r="H2222" s="13">
        <v>3000</v>
      </c>
      <c r="I2222" s="14">
        <f t="shared" si="80"/>
        <v>-3.3083799999999927E-2</v>
      </c>
      <c r="J2222" s="13">
        <f t="shared" si="79"/>
        <v>201449.96999999997</v>
      </c>
    </row>
    <row r="2223" spans="1:10" x14ac:dyDescent="0.25">
      <c r="A2223" s="10">
        <v>41551</v>
      </c>
      <c r="B2223" s="11" t="s">
        <v>8</v>
      </c>
      <c r="C2223" s="11" t="s">
        <v>5</v>
      </c>
      <c r="D2223" s="16" t="str">
        <f>HYPERLINK("https://freddywills.com/pick/1628/byu-6.html", "BYU +6")</f>
        <v>BYU +6</v>
      </c>
      <c r="E2223" s="11">
        <v>3.3</v>
      </c>
      <c r="F2223" s="11">
        <v>-1.1000000000000001</v>
      </c>
      <c r="G2223" s="11" t="s">
        <v>4</v>
      </c>
      <c r="H2223" s="13">
        <v>3000</v>
      </c>
      <c r="I2223" s="14">
        <f t="shared" si="80"/>
        <v>-6.3083799999999926E-2</v>
      </c>
      <c r="J2223" s="13">
        <f t="shared" si="79"/>
        <v>198449.96999999997</v>
      </c>
    </row>
    <row r="2224" spans="1:10" x14ac:dyDescent="0.25">
      <c r="A2224" s="10">
        <v>41550</v>
      </c>
      <c r="B2224" s="11" t="s">
        <v>8</v>
      </c>
      <c r="C2224" s="11" t="s">
        <v>7</v>
      </c>
      <c r="D2224" s="16" t="str">
        <f>HYPERLINK("https://freddywills.com/pick/1631/tx-iowa-st-u55.html", "Tx/Iowa St U55")</f>
        <v>Tx/Iowa St U55</v>
      </c>
      <c r="E2224" s="11">
        <v>1.1000000000000001</v>
      </c>
      <c r="F2224" s="11">
        <v>-1.1000000000000001</v>
      </c>
      <c r="G2224" s="11" t="s">
        <v>6</v>
      </c>
      <c r="H2224" s="13">
        <v>-1100</v>
      </c>
      <c r="I2224" s="14">
        <f t="shared" si="80"/>
        <v>-9.3083799999999925E-2</v>
      </c>
      <c r="J2224" s="13">
        <f t="shared" si="79"/>
        <v>195449.96999999997</v>
      </c>
    </row>
    <row r="2225" spans="1:10" x14ac:dyDescent="0.25">
      <c r="A2225" s="10">
        <v>41550</v>
      </c>
      <c r="B2225" s="11" t="s">
        <v>8</v>
      </c>
      <c r="C2225" s="11" t="s">
        <v>7</v>
      </c>
      <c r="D2225" s="16" t="str">
        <f>HYPERLINK("https://freddywills.com/pick/1632/utah-ucla-o61.html", "Utah/UCLA O61")</f>
        <v>Utah/UCLA O61</v>
      </c>
      <c r="E2225" s="11">
        <v>3.3</v>
      </c>
      <c r="F2225" s="11">
        <v>-1.1000000000000001</v>
      </c>
      <c r="G2225" s="11" t="s">
        <v>9</v>
      </c>
      <c r="H2225" s="13">
        <v>0</v>
      </c>
      <c r="I2225" s="14">
        <f t="shared" si="80"/>
        <v>-8.2083799999999929E-2</v>
      </c>
      <c r="J2225" s="13">
        <f t="shared" si="79"/>
        <v>196549.96999999997</v>
      </c>
    </row>
    <row r="2226" spans="1:10" x14ac:dyDescent="0.25">
      <c r="A2226" s="10">
        <v>41550</v>
      </c>
      <c r="B2226" s="11" t="s">
        <v>2</v>
      </c>
      <c r="C2226" s="11" t="s">
        <v>5</v>
      </c>
      <c r="D2226" s="16" t="str">
        <f>HYPERLINK("https://freddywills.com/pick/1633/browns-3-5.html", "Browns -3.5")</f>
        <v>Browns -3.5</v>
      </c>
      <c r="E2226" s="11">
        <v>3.3</v>
      </c>
      <c r="F2226" s="11">
        <v>-1.1000000000000001</v>
      </c>
      <c r="G2226" s="11" t="s">
        <v>4</v>
      </c>
      <c r="H2226" s="13">
        <v>3000</v>
      </c>
      <c r="I2226" s="14">
        <f t="shared" si="80"/>
        <v>-8.2083799999999929E-2</v>
      </c>
      <c r="J2226" s="13">
        <f t="shared" si="79"/>
        <v>196549.96999999997</v>
      </c>
    </row>
    <row r="2227" spans="1:10" x14ac:dyDescent="0.25">
      <c r="A2227" s="10">
        <v>41547</v>
      </c>
      <c r="B2227" s="11" t="s">
        <v>2</v>
      </c>
      <c r="C2227" s="11" t="s">
        <v>5</v>
      </c>
      <c r="D2227" s="16" t="str">
        <f>HYPERLINK("https://freddywills.com/pick/1635/dolphins-7.html", "Dolphins +7")</f>
        <v>Dolphins +7</v>
      </c>
      <c r="E2227" s="11">
        <v>4</v>
      </c>
      <c r="F2227" s="11">
        <v>-1.1000000000000001</v>
      </c>
      <c r="G2227" s="11" t="s">
        <v>6</v>
      </c>
      <c r="H2227" s="13">
        <v>-4000</v>
      </c>
      <c r="I2227" s="14">
        <f t="shared" si="80"/>
        <v>-0.11208379999999993</v>
      </c>
      <c r="J2227" s="13">
        <f t="shared" si="79"/>
        <v>193549.96999999997</v>
      </c>
    </row>
    <row r="2228" spans="1:10" x14ac:dyDescent="0.25">
      <c r="A2228" s="10">
        <v>41546</v>
      </c>
      <c r="B2228" s="11" t="s">
        <v>2</v>
      </c>
      <c r="C2228" s="11" t="s">
        <v>5</v>
      </c>
      <c r="D2228" s="16" t="str">
        <f>HYPERLINK("https://freddywills.com/pick/1637/jaguars-9.html", "Jaguars +9")</f>
        <v>Jaguars +9</v>
      </c>
      <c r="E2228" s="11">
        <v>3.3</v>
      </c>
      <c r="F2228" s="11">
        <v>-1.1000000000000001</v>
      </c>
      <c r="G2228" s="11" t="s">
        <v>6</v>
      </c>
      <c r="H2228" s="13">
        <v>-3300</v>
      </c>
      <c r="I2228" s="14">
        <f t="shared" si="80"/>
        <v>-7.2083799999999934E-2</v>
      </c>
      <c r="J2228" s="13">
        <f t="shared" si="79"/>
        <v>197549.96999999997</v>
      </c>
    </row>
    <row r="2229" spans="1:10" x14ac:dyDescent="0.25">
      <c r="A2229" s="10">
        <v>41546</v>
      </c>
      <c r="B2229" s="11" t="s">
        <v>2</v>
      </c>
      <c r="C2229" s="11" t="s">
        <v>5</v>
      </c>
      <c r="D2229" s="16" t="str">
        <f>HYPERLINK("https://freddywills.com/pick/1638/giants-4.html", "Giants +4")</f>
        <v>Giants +4</v>
      </c>
      <c r="E2229" s="11">
        <v>4.4000000000000004</v>
      </c>
      <c r="F2229" s="11">
        <v>-1.1000000000000001</v>
      </c>
      <c r="G2229" s="11" t="s">
        <v>6</v>
      </c>
      <c r="H2229" s="13">
        <v>-4400</v>
      </c>
      <c r="I2229" s="14">
        <f t="shared" si="80"/>
        <v>-3.9083799999999932E-2</v>
      </c>
      <c r="J2229" s="13">
        <f t="shared" si="79"/>
        <v>200849.96999999997</v>
      </c>
    </row>
    <row r="2230" spans="1:10" x14ac:dyDescent="0.25">
      <c r="A2230" s="10">
        <v>41546</v>
      </c>
      <c r="B2230" s="11" t="s">
        <v>2</v>
      </c>
      <c r="C2230" s="11" t="s">
        <v>5</v>
      </c>
      <c r="D2230" s="16" t="str">
        <f>HYPERLINK("https://freddywills.com/pick/1639/lions-3-100.html", "Lions -3 +100")</f>
        <v>Lions -3 +100</v>
      </c>
      <c r="E2230" s="11">
        <v>2</v>
      </c>
      <c r="F2230" s="11">
        <v>1</v>
      </c>
      <c r="G2230" s="11" t="s">
        <v>4</v>
      </c>
      <c r="H2230" s="13">
        <v>2000</v>
      </c>
      <c r="I2230" s="14">
        <f t="shared" si="80"/>
        <v>4.9162000000000684E-3</v>
      </c>
      <c r="J2230" s="13">
        <f t="shared" si="79"/>
        <v>205249.96999999997</v>
      </c>
    </row>
    <row r="2231" spans="1:10" x14ac:dyDescent="0.25">
      <c r="A2231" s="10">
        <v>41546</v>
      </c>
      <c r="B2231" s="11" t="s">
        <v>2</v>
      </c>
      <c r="C2231" s="11" t="s">
        <v>5</v>
      </c>
      <c r="D2231" s="16" t="str">
        <f>HYPERLINK("https://freddywills.com/pick/1640/texans-2.html", "Texans +2")</f>
        <v>Texans +2</v>
      </c>
      <c r="E2231" s="11">
        <v>5.5</v>
      </c>
      <c r="F2231" s="11">
        <v>-1.1000000000000001</v>
      </c>
      <c r="G2231" s="11" t="s">
        <v>6</v>
      </c>
      <c r="H2231" s="13">
        <v>-5500</v>
      </c>
      <c r="I2231" s="14">
        <f t="shared" si="80"/>
        <v>-1.5083799999999932E-2</v>
      </c>
      <c r="J2231" s="13">
        <f t="shared" si="79"/>
        <v>203249.96999999997</v>
      </c>
    </row>
    <row r="2232" spans="1:10" x14ac:dyDescent="0.25">
      <c r="A2232" s="10">
        <v>41546</v>
      </c>
      <c r="B2232" s="11" t="s">
        <v>2</v>
      </c>
      <c r="C2232" s="11" t="s">
        <v>5</v>
      </c>
      <c r="D2232" s="16" t="str">
        <f>HYPERLINK("https://freddywills.com/pick/1641/falcons-2-5.html", "Falcons -2.5")</f>
        <v>Falcons -2.5</v>
      </c>
      <c r="E2232" s="11">
        <v>3.3</v>
      </c>
      <c r="F2232" s="11">
        <v>-1.1000000000000001</v>
      </c>
      <c r="G2232" s="11" t="s">
        <v>6</v>
      </c>
      <c r="H2232" s="13">
        <v>-3300</v>
      </c>
      <c r="I2232" s="14">
        <f t="shared" si="80"/>
        <v>3.9916200000000068E-2</v>
      </c>
      <c r="J2232" s="13">
        <f t="shared" si="79"/>
        <v>208749.96999999997</v>
      </c>
    </row>
    <row r="2233" spans="1:10" x14ac:dyDescent="0.25">
      <c r="A2233" s="10">
        <v>41546</v>
      </c>
      <c r="B2233" s="11" t="s">
        <v>2</v>
      </c>
      <c r="C2233" s="11" t="s">
        <v>10</v>
      </c>
      <c r="D2233" s="16" t="str">
        <f>HYPERLINK("https://freddywills.com/pick/1642/chargers-8-5-broncos-3-130.html", "Chargers +8.5/Broncos -3 -130")</f>
        <v>Chargers +8.5/Broncos -3 -130</v>
      </c>
      <c r="E2233" s="11">
        <v>4</v>
      </c>
      <c r="F2233" s="11">
        <v>-1.3</v>
      </c>
      <c r="G2233" s="11" t="s">
        <v>4</v>
      </c>
      <c r="H2233" s="13">
        <v>3076.92</v>
      </c>
      <c r="I2233" s="14">
        <f t="shared" si="80"/>
        <v>7.291620000000007E-2</v>
      </c>
      <c r="J2233" s="13">
        <f t="shared" si="79"/>
        <v>212049.96999999997</v>
      </c>
    </row>
    <row r="2234" spans="1:10" x14ac:dyDescent="0.25">
      <c r="A2234" s="10">
        <v>41545</v>
      </c>
      <c r="B2234" s="11" t="s">
        <v>8</v>
      </c>
      <c r="C2234" s="11" t="s">
        <v>5</v>
      </c>
      <c r="D2234" s="16" t="str">
        <f>HYPERLINK("https://freddywills.com/pick/1643/iowa-2.html", "Iowa -2")</f>
        <v>Iowa -2</v>
      </c>
      <c r="E2234" s="11">
        <v>5.5</v>
      </c>
      <c r="F2234" s="11">
        <v>-1.1000000000000001</v>
      </c>
      <c r="G2234" s="11" t="s">
        <v>4</v>
      </c>
      <c r="H2234" s="13">
        <v>5000</v>
      </c>
      <c r="I2234" s="14">
        <f t="shared" si="80"/>
        <v>4.2147000000000073E-2</v>
      </c>
      <c r="J2234" s="13">
        <f t="shared" si="79"/>
        <v>208973.04999999996</v>
      </c>
    </row>
    <row r="2235" spans="1:10" x14ac:dyDescent="0.25">
      <c r="A2235" s="10">
        <v>41545</v>
      </c>
      <c r="B2235" s="11" t="s">
        <v>8</v>
      </c>
      <c r="C2235" s="11" t="s">
        <v>5</v>
      </c>
      <c r="D2235" s="16" t="str">
        <f>HYPERLINK("https://freddywills.com/pick/1644/lsu-3.html", "LSU +3")</f>
        <v>LSU +3</v>
      </c>
      <c r="E2235" s="11">
        <v>3.3</v>
      </c>
      <c r="F2235" s="11">
        <v>-1.1000000000000001</v>
      </c>
      <c r="G2235" s="11" t="s">
        <v>9</v>
      </c>
      <c r="H2235" s="13">
        <v>0</v>
      </c>
      <c r="I2235" s="14">
        <f t="shared" si="80"/>
        <v>-7.852999999999926E-3</v>
      </c>
      <c r="J2235" s="13">
        <f t="shared" si="79"/>
        <v>203973.04999999996</v>
      </c>
    </row>
    <row r="2236" spans="1:10" x14ac:dyDescent="0.25">
      <c r="A2236" s="10">
        <v>41545</v>
      </c>
      <c r="B2236" s="11" t="s">
        <v>8</v>
      </c>
      <c r="C2236" s="11" t="s">
        <v>18</v>
      </c>
      <c r="D2236" s="16" t="str">
        <f>HYPERLINK("https://freddywills.com/pick/1645/utsa-130.html", "UTSA +130")</f>
        <v>UTSA +130</v>
      </c>
      <c r="E2236" s="11">
        <v>2</v>
      </c>
      <c r="F2236" s="11">
        <v>1.3</v>
      </c>
      <c r="G2236" s="11" t="s">
        <v>6</v>
      </c>
      <c r="H2236" s="13">
        <v>-2000</v>
      </c>
      <c r="I2236" s="14">
        <f t="shared" si="80"/>
        <v>-7.852999999999926E-3</v>
      </c>
      <c r="J2236" s="13">
        <f t="shared" ref="J2236:J2299" si="81">H2236+J2237</f>
        <v>203973.04999999996</v>
      </c>
    </row>
    <row r="2237" spans="1:10" x14ac:dyDescent="0.25">
      <c r="A2237" s="10">
        <v>41545</v>
      </c>
      <c r="B2237" s="11" t="s">
        <v>8</v>
      </c>
      <c r="C2237" s="11" t="s">
        <v>5</v>
      </c>
      <c r="D2237" s="16" t="str">
        <f>HYPERLINK("https://freddywills.com/pick/1646/arkansas-14-5.html", "Arkansas +14.5")</f>
        <v>Arkansas +14.5</v>
      </c>
      <c r="E2237" s="11">
        <v>3.3</v>
      </c>
      <c r="F2237" s="11">
        <v>-1.1000000000000001</v>
      </c>
      <c r="G2237" s="11" t="s">
        <v>4</v>
      </c>
      <c r="H2237" s="13">
        <v>3000</v>
      </c>
      <c r="I2237" s="14">
        <f t="shared" si="80"/>
        <v>1.2147000000000074E-2</v>
      </c>
      <c r="J2237" s="13">
        <f t="shared" si="81"/>
        <v>205973.04999999996</v>
      </c>
    </row>
    <row r="2238" spans="1:10" x14ac:dyDescent="0.25">
      <c r="A2238" s="10">
        <v>41545</v>
      </c>
      <c r="B2238" s="11" t="s">
        <v>8</v>
      </c>
      <c r="C2238" s="11" t="s">
        <v>5</v>
      </c>
      <c r="D2238" s="16" t="str">
        <f>HYPERLINK("https://freddywills.com/pick/1647/wisconsin-7.html", "Wisconsin +7")</f>
        <v>Wisconsin +7</v>
      </c>
      <c r="E2238" s="11">
        <v>3.3</v>
      </c>
      <c r="F2238" s="11">
        <v>-1.1000000000000001</v>
      </c>
      <c r="G2238" s="11" t="s">
        <v>9</v>
      </c>
      <c r="H2238" s="13">
        <v>0</v>
      </c>
      <c r="I2238" s="14">
        <f t="shared" si="80"/>
        <v>-1.7852999999999924E-2</v>
      </c>
      <c r="J2238" s="13">
        <f t="shared" si="81"/>
        <v>202973.04999999996</v>
      </c>
    </row>
    <row r="2239" spans="1:10" x14ac:dyDescent="0.25">
      <c r="A2239" s="10">
        <v>41545</v>
      </c>
      <c r="B2239" s="11" t="s">
        <v>8</v>
      </c>
      <c r="C2239" s="11" t="s">
        <v>5</v>
      </c>
      <c r="D2239" s="16" t="str">
        <f>HYPERLINK("https://freddywills.com/pick/1649/wash-st-10-120.html", "Wash St +10 -120")</f>
        <v>Wash St +10 -120</v>
      </c>
      <c r="E2239" s="11">
        <v>4.5</v>
      </c>
      <c r="F2239" s="11">
        <v>-1.2</v>
      </c>
      <c r="G2239" s="11" t="s">
        <v>6</v>
      </c>
      <c r="H2239" s="13">
        <v>-4500</v>
      </c>
      <c r="I2239" s="14">
        <f t="shared" si="80"/>
        <v>-1.7852999999999924E-2</v>
      </c>
      <c r="J2239" s="13">
        <f t="shared" si="81"/>
        <v>202973.04999999996</v>
      </c>
    </row>
    <row r="2240" spans="1:10" x14ac:dyDescent="0.25">
      <c r="A2240" s="10">
        <v>41545</v>
      </c>
      <c r="B2240" s="11" t="s">
        <v>8</v>
      </c>
      <c r="C2240" s="11" t="s">
        <v>5</v>
      </c>
      <c r="D2240" s="16" t="str">
        <f>HYPERLINK("https://freddywills.com/pick/1650/kentucky-12.html", "Kentucky +12")</f>
        <v>Kentucky +12</v>
      </c>
      <c r="E2240" s="11">
        <v>4.4000000000000004</v>
      </c>
      <c r="F2240" s="11">
        <v>-1.1000000000000001</v>
      </c>
      <c r="G2240" s="11" t="s">
        <v>6</v>
      </c>
      <c r="H2240" s="13">
        <v>-4400</v>
      </c>
      <c r="I2240" s="14">
        <f t="shared" si="80"/>
        <v>2.7147000000000074E-2</v>
      </c>
      <c r="J2240" s="13">
        <f t="shared" si="81"/>
        <v>207473.04999999996</v>
      </c>
    </row>
    <row r="2241" spans="1:10" x14ac:dyDescent="0.25">
      <c r="A2241" s="10">
        <v>41544</v>
      </c>
      <c r="B2241" s="11" t="s">
        <v>8</v>
      </c>
      <c r="C2241" s="11" t="s">
        <v>5</v>
      </c>
      <c r="D2241" s="16" t="str">
        <f>HYPERLINK("https://freddywills.com/pick/1652/san-jose-st-10.html", "San Jose St +10")</f>
        <v>San Jose St +10</v>
      </c>
      <c r="E2241" s="11">
        <v>3.3</v>
      </c>
      <c r="F2241" s="11">
        <v>-1.1000000000000001</v>
      </c>
      <c r="G2241" s="11" t="s">
        <v>6</v>
      </c>
      <c r="H2241" s="13">
        <v>-3300</v>
      </c>
      <c r="I2241" s="14">
        <f t="shared" si="80"/>
        <v>7.1147000000000071E-2</v>
      </c>
      <c r="J2241" s="13">
        <f t="shared" si="81"/>
        <v>211873.04999999996</v>
      </c>
    </row>
    <row r="2242" spans="1:10" x14ac:dyDescent="0.25">
      <c r="A2242" s="10">
        <v>41543</v>
      </c>
      <c r="B2242" s="11" t="s">
        <v>8</v>
      </c>
      <c r="C2242" s="11" t="s">
        <v>5</v>
      </c>
      <c r="D2242" s="16" t="str">
        <f>HYPERLINK("https://freddywills.com/pick/1653/vtech-7.html", "Vtech +7")</f>
        <v>Vtech +7</v>
      </c>
      <c r="E2242" s="11">
        <v>4.4000000000000004</v>
      </c>
      <c r="F2242" s="11">
        <v>-1.1000000000000001</v>
      </c>
      <c r="G2242" s="11" t="s">
        <v>4</v>
      </c>
      <c r="H2242" s="13">
        <v>4000</v>
      </c>
      <c r="I2242" s="14">
        <f t="shared" si="80"/>
        <v>0.10414700000000007</v>
      </c>
      <c r="J2242" s="13">
        <f t="shared" si="81"/>
        <v>215173.04999999996</v>
      </c>
    </row>
    <row r="2243" spans="1:10" x14ac:dyDescent="0.25">
      <c r="A2243" s="10">
        <v>41543</v>
      </c>
      <c r="B2243" s="11" t="s">
        <v>8</v>
      </c>
      <c r="C2243" s="11" t="s">
        <v>5</v>
      </c>
      <c r="D2243" s="16" t="str">
        <f>HYPERLINK("https://freddywills.com/pick/1654/iowa-st-3.html", "Iowa St +3")</f>
        <v>Iowa St +3</v>
      </c>
      <c r="E2243" s="11">
        <v>2.2000000000000002</v>
      </c>
      <c r="F2243" s="11">
        <v>-1.1000000000000001</v>
      </c>
      <c r="G2243" s="11" t="s">
        <v>4</v>
      </c>
      <c r="H2243" s="13">
        <v>2000</v>
      </c>
      <c r="I2243" s="14">
        <f t="shared" si="80"/>
        <v>6.4147000000000065E-2</v>
      </c>
      <c r="J2243" s="13">
        <f t="shared" si="81"/>
        <v>211173.04999999996</v>
      </c>
    </row>
    <row r="2244" spans="1:10" x14ac:dyDescent="0.25">
      <c r="A2244" s="10">
        <v>41543</v>
      </c>
      <c r="B2244" s="11" t="s">
        <v>2</v>
      </c>
      <c r="C2244" s="11" t="s">
        <v>5</v>
      </c>
      <c r="D2244" s="16" t="str">
        <f>HYPERLINK("https://freddywills.com/pick/1656/rams-3-5.html", "Rams +3.5")</f>
        <v>Rams +3.5</v>
      </c>
      <c r="E2244" s="11">
        <v>5.5</v>
      </c>
      <c r="F2244" s="11">
        <v>-1.1000000000000001</v>
      </c>
      <c r="G2244" s="11" t="s">
        <v>6</v>
      </c>
      <c r="H2244" s="13">
        <v>-5500</v>
      </c>
      <c r="I2244" s="14">
        <f t="shared" si="80"/>
        <v>4.4147000000000068E-2</v>
      </c>
      <c r="J2244" s="13">
        <f t="shared" si="81"/>
        <v>209173.04999999996</v>
      </c>
    </row>
    <row r="2245" spans="1:10" x14ac:dyDescent="0.25">
      <c r="A2245" s="10">
        <v>41540</v>
      </c>
      <c r="B2245" s="11" t="s">
        <v>2</v>
      </c>
      <c r="C2245" s="11" t="s">
        <v>7</v>
      </c>
      <c r="D2245" s="16" t="str">
        <f>HYPERLINK("https://freddywills.com/pick/1662/oak-den-u50.html", "OAK/DEN U50")</f>
        <v>OAK/DEN U50</v>
      </c>
      <c r="E2245" s="11">
        <v>2.2000000000000002</v>
      </c>
      <c r="F2245" s="11">
        <v>-1.1000000000000001</v>
      </c>
      <c r="G2245" s="11" t="s">
        <v>6</v>
      </c>
      <c r="H2245" s="13">
        <v>-2200</v>
      </c>
      <c r="I2245" s="14">
        <f t="shared" si="80"/>
        <v>9.9147000000000068E-2</v>
      </c>
      <c r="J2245" s="13">
        <f t="shared" si="81"/>
        <v>214673.04999999996</v>
      </c>
    </row>
    <row r="2246" spans="1:10" x14ac:dyDescent="0.25">
      <c r="A2246" s="10">
        <v>41539</v>
      </c>
      <c r="B2246" s="11" t="s">
        <v>2</v>
      </c>
      <c r="C2246" s="11" t="s">
        <v>5</v>
      </c>
      <c r="D2246" s="16" t="str">
        <f>HYPERLINK("https://freddywills.com/pick/1667/bengals-3-115.html", "Bengals +3 -115")</f>
        <v>Bengals +3 -115</v>
      </c>
      <c r="E2246" s="11">
        <v>1.5</v>
      </c>
      <c r="F2246" s="11">
        <v>-1.1499999999999999</v>
      </c>
      <c r="G2246" s="11" t="s">
        <v>4</v>
      </c>
      <c r="H2246" s="13">
        <v>1304.3499999999999</v>
      </c>
      <c r="I2246" s="14">
        <f t="shared" si="80"/>
        <v>0.12114700000000007</v>
      </c>
      <c r="J2246" s="13">
        <f t="shared" si="81"/>
        <v>216873.04999999996</v>
      </c>
    </row>
    <row r="2247" spans="1:10" x14ac:dyDescent="0.25">
      <c r="A2247" s="10">
        <v>41539</v>
      </c>
      <c r="B2247" s="11" t="s">
        <v>2</v>
      </c>
      <c r="C2247" s="11" t="s">
        <v>5</v>
      </c>
      <c r="D2247" s="16" t="str">
        <f>HYPERLINK("https://freddywills.com/pick/1668/dolphins-1.html", "Dolphins -1")</f>
        <v>Dolphins -1</v>
      </c>
      <c r="E2247" s="11">
        <v>5.5</v>
      </c>
      <c r="F2247" s="11">
        <v>-1.1000000000000001</v>
      </c>
      <c r="G2247" s="11" t="s">
        <v>4</v>
      </c>
      <c r="H2247" s="13">
        <v>5000</v>
      </c>
      <c r="I2247" s="14">
        <f t="shared" si="80"/>
        <v>0.10810350000000007</v>
      </c>
      <c r="J2247" s="13">
        <f t="shared" si="81"/>
        <v>215568.69999999995</v>
      </c>
    </row>
    <row r="2248" spans="1:10" x14ac:dyDescent="0.25">
      <c r="A2248" s="10">
        <v>41539</v>
      </c>
      <c r="B2248" s="11" t="s">
        <v>2</v>
      </c>
      <c r="C2248" s="11" t="s">
        <v>5</v>
      </c>
      <c r="D2248" s="16" t="str">
        <f>HYPERLINK("https://freddywills.com/pick/1669/rams-3-5.html", "Rams +3.5")</f>
        <v>Rams +3.5</v>
      </c>
      <c r="E2248" s="11">
        <v>4.4000000000000004</v>
      </c>
      <c r="F2248" s="11">
        <v>-1.1000000000000001</v>
      </c>
      <c r="G2248" s="11" t="s">
        <v>6</v>
      </c>
      <c r="H2248" s="13">
        <v>-4400</v>
      </c>
      <c r="I2248" s="14">
        <f t="shared" ref="I2248:I2311" si="82">(H2248/100000)+I2249</f>
        <v>5.8103500000000072E-2</v>
      </c>
      <c r="J2248" s="13">
        <f t="shared" si="81"/>
        <v>210568.69999999995</v>
      </c>
    </row>
    <row r="2249" spans="1:10" x14ac:dyDescent="0.25">
      <c r="A2249" s="10">
        <v>41539</v>
      </c>
      <c r="B2249" s="11" t="s">
        <v>2</v>
      </c>
      <c r="C2249" s="11" t="s">
        <v>5</v>
      </c>
      <c r="D2249" s="16" t="str">
        <f>HYPERLINK("https://freddywills.com/pick/1670/browns-7.html", "Browns +7")</f>
        <v>Browns +7</v>
      </c>
      <c r="E2249" s="11">
        <v>3.3</v>
      </c>
      <c r="F2249" s="11">
        <v>-1.1000000000000001</v>
      </c>
      <c r="G2249" s="11" t="s">
        <v>4</v>
      </c>
      <c r="H2249" s="13">
        <v>3000</v>
      </c>
      <c r="I2249" s="14">
        <f t="shared" si="82"/>
        <v>0.10210350000000007</v>
      </c>
      <c r="J2249" s="13">
        <f t="shared" si="81"/>
        <v>214968.69999999995</v>
      </c>
    </row>
    <row r="2250" spans="1:10" x14ac:dyDescent="0.25">
      <c r="A2250" s="10">
        <v>41538</v>
      </c>
      <c r="B2250" s="11" t="s">
        <v>8</v>
      </c>
      <c r="C2250" s="11" t="s">
        <v>5</v>
      </c>
      <c r="D2250" s="16" t="str">
        <f>HYPERLINK("https://freddywills.com/pick/1671/michigan-state-4-5.html", "Michigan State +4.5")</f>
        <v>Michigan State +4.5</v>
      </c>
      <c r="E2250" s="11">
        <v>5.5</v>
      </c>
      <c r="F2250" s="11">
        <v>-1.1000000000000001</v>
      </c>
      <c r="G2250" s="11" t="s">
        <v>4</v>
      </c>
      <c r="H2250" s="13">
        <v>5000</v>
      </c>
      <c r="I2250" s="14">
        <f t="shared" si="82"/>
        <v>7.210350000000007E-2</v>
      </c>
      <c r="J2250" s="13">
        <f t="shared" si="81"/>
        <v>211968.69999999995</v>
      </c>
    </row>
    <row r="2251" spans="1:10" x14ac:dyDescent="0.25">
      <c r="A2251" s="10">
        <v>41538</v>
      </c>
      <c r="B2251" s="11" t="s">
        <v>8</v>
      </c>
      <c r="C2251" s="11" t="s">
        <v>18</v>
      </c>
      <c r="D2251" s="16" t="str">
        <f>HYPERLINK("https://freddywills.com/pick/1672/michigan-state-175.html", "Michigan State +175")</f>
        <v>Michigan State +175</v>
      </c>
      <c r="E2251" s="11">
        <v>1</v>
      </c>
      <c r="F2251" s="11">
        <v>1.75</v>
      </c>
      <c r="G2251" s="11" t="s">
        <v>6</v>
      </c>
      <c r="H2251" s="13">
        <v>-1000</v>
      </c>
      <c r="I2251" s="14">
        <f t="shared" si="82"/>
        <v>2.2103500000000068E-2</v>
      </c>
      <c r="J2251" s="13">
        <f t="shared" si="81"/>
        <v>206968.69999999995</v>
      </c>
    </row>
    <row r="2252" spans="1:10" x14ac:dyDescent="0.25">
      <c r="A2252" s="10">
        <v>41538</v>
      </c>
      <c r="B2252" s="11" t="s">
        <v>8</v>
      </c>
      <c r="C2252" s="11" t="s">
        <v>5</v>
      </c>
      <c r="D2252" s="16" t="str">
        <f>HYPERLINK("https://freddywills.com/pick/1673/utah-state-7-115.html", "Utah State +7 -115")</f>
        <v>Utah State +7 -115</v>
      </c>
      <c r="E2252" s="11">
        <v>2.5</v>
      </c>
      <c r="F2252" s="11">
        <v>-1.1000000000000001</v>
      </c>
      <c r="G2252" s="11" t="s">
        <v>4</v>
      </c>
      <c r="H2252" s="13">
        <v>2272.73</v>
      </c>
      <c r="I2252" s="14">
        <f t="shared" si="82"/>
        <v>3.2103500000000069E-2</v>
      </c>
      <c r="J2252" s="13">
        <f t="shared" si="81"/>
        <v>207968.69999999995</v>
      </c>
    </row>
    <row r="2253" spans="1:10" x14ac:dyDescent="0.25">
      <c r="A2253" s="10">
        <v>41538</v>
      </c>
      <c r="B2253" s="11" t="s">
        <v>8</v>
      </c>
      <c r="C2253" s="11" t="s">
        <v>5</v>
      </c>
      <c r="D2253" s="16" t="str">
        <f>HYPERLINK("https://freddywills.com/pick/1674/rice-3-115.html", "Rice +3 -115")</f>
        <v>Rice +3 -115</v>
      </c>
      <c r="E2253" s="11">
        <v>3</v>
      </c>
      <c r="F2253" s="11">
        <v>-1.1499999999999999</v>
      </c>
      <c r="G2253" s="11" t="s">
        <v>6</v>
      </c>
      <c r="H2253" s="13">
        <v>-3000</v>
      </c>
      <c r="I2253" s="14">
        <f t="shared" si="82"/>
        <v>9.3762000000000706E-3</v>
      </c>
      <c r="J2253" s="13">
        <f t="shared" si="81"/>
        <v>205695.96999999994</v>
      </c>
    </row>
    <row r="2254" spans="1:10" x14ac:dyDescent="0.25">
      <c r="A2254" s="10">
        <v>41538</v>
      </c>
      <c r="B2254" s="11" t="s">
        <v>8</v>
      </c>
      <c r="C2254" s="11" t="s">
        <v>5</v>
      </c>
      <c r="D2254" s="16" t="str">
        <f>HYPERLINK("https://freddywills.com/pick/1675/sjsu-4.html", "SJSU +4")</f>
        <v>SJSU +4</v>
      </c>
      <c r="E2254" s="11">
        <v>3.3</v>
      </c>
      <c r="F2254" s="11">
        <v>-1.1000000000000001</v>
      </c>
      <c r="G2254" s="11" t="s">
        <v>6</v>
      </c>
      <c r="H2254" s="13">
        <v>-3300</v>
      </c>
      <c r="I2254" s="14">
        <f t="shared" si="82"/>
        <v>3.9376200000000069E-2</v>
      </c>
      <c r="J2254" s="13">
        <f t="shared" si="81"/>
        <v>208695.96999999994</v>
      </c>
    </row>
    <row r="2255" spans="1:10" x14ac:dyDescent="0.25">
      <c r="A2255" s="10">
        <v>41538</v>
      </c>
      <c r="B2255" s="11" t="s">
        <v>8</v>
      </c>
      <c r="C2255" s="11" t="s">
        <v>5</v>
      </c>
      <c r="D2255" s="16" t="str">
        <f>HYPERLINK("https://freddywills.com/pick/1677/missouri-1.html", "Missouri +1")</f>
        <v>Missouri +1</v>
      </c>
      <c r="E2255" s="11">
        <v>4.4000000000000004</v>
      </c>
      <c r="F2255" s="11">
        <v>-1.1000000000000001</v>
      </c>
      <c r="G2255" s="11" t="s">
        <v>4</v>
      </c>
      <c r="H2255" s="13">
        <v>4000</v>
      </c>
      <c r="I2255" s="14">
        <f t="shared" si="82"/>
        <v>7.2376200000000071E-2</v>
      </c>
      <c r="J2255" s="13">
        <f t="shared" si="81"/>
        <v>211995.96999999994</v>
      </c>
    </row>
    <row r="2256" spans="1:10" x14ac:dyDescent="0.25">
      <c r="A2256" s="10">
        <v>41538</v>
      </c>
      <c r="B2256" s="11" t="s">
        <v>8</v>
      </c>
      <c r="C2256" s="11" t="s">
        <v>5</v>
      </c>
      <c r="D2256" s="16" t="str">
        <f>HYPERLINK("https://freddywills.com/pick/1678/utah-7.html", "Utah +7")</f>
        <v>Utah +7</v>
      </c>
      <c r="E2256" s="11">
        <v>3.3</v>
      </c>
      <c r="F2256" s="11">
        <v>-1.1000000000000001</v>
      </c>
      <c r="G2256" s="11" t="s">
        <v>4</v>
      </c>
      <c r="H2256" s="13">
        <v>3000</v>
      </c>
      <c r="I2256" s="14">
        <f t="shared" si="82"/>
        <v>3.237620000000007E-2</v>
      </c>
      <c r="J2256" s="13">
        <f t="shared" si="81"/>
        <v>207995.96999999994</v>
      </c>
    </row>
    <row r="2257" spans="1:10" x14ac:dyDescent="0.25">
      <c r="A2257" s="10">
        <v>41537</v>
      </c>
      <c r="B2257" s="11" t="s">
        <v>8</v>
      </c>
      <c r="C2257" s="11" t="s">
        <v>5</v>
      </c>
      <c r="D2257" s="16" t="str">
        <f>HYPERLINK("https://freddywills.com/pick/1679/boise-state-4.html", "Boise State +4")</f>
        <v>Boise State +4</v>
      </c>
      <c r="E2257" s="11">
        <v>3.3</v>
      </c>
      <c r="F2257" s="11">
        <v>-1.1000000000000001</v>
      </c>
      <c r="G2257" s="11" t="s">
        <v>4</v>
      </c>
      <c r="H2257" s="13">
        <v>3000</v>
      </c>
      <c r="I2257" s="14">
        <f t="shared" si="82"/>
        <v>2.3762000000000713E-3</v>
      </c>
      <c r="J2257" s="13">
        <f t="shared" si="81"/>
        <v>204995.96999999994</v>
      </c>
    </row>
    <row r="2258" spans="1:10" x14ac:dyDescent="0.25">
      <c r="A2258" s="10">
        <v>41536</v>
      </c>
      <c r="B2258" s="11" t="s">
        <v>2</v>
      </c>
      <c r="C2258" s="11" t="s">
        <v>5</v>
      </c>
      <c r="D2258" s="16" t="str">
        <f>HYPERLINK("https://freddywills.com/pick/1683/chiefs-3-5-115.html", "Chiefs +3.5 -115")</f>
        <v>Chiefs +3.5 -115</v>
      </c>
      <c r="E2258" s="11">
        <v>4.5</v>
      </c>
      <c r="F2258" s="11">
        <v>-1.1499999999999999</v>
      </c>
      <c r="G2258" s="11" t="s">
        <v>4</v>
      </c>
      <c r="H2258" s="13">
        <v>3913.04</v>
      </c>
      <c r="I2258" s="14">
        <f t="shared" si="82"/>
        <v>-2.7623799999999928E-2</v>
      </c>
      <c r="J2258" s="13">
        <f t="shared" si="81"/>
        <v>201995.96999999994</v>
      </c>
    </row>
    <row r="2259" spans="1:10" x14ac:dyDescent="0.25">
      <c r="A2259" s="10">
        <v>41536</v>
      </c>
      <c r="B2259" s="11" t="s">
        <v>8</v>
      </c>
      <c r="C2259" s="11" t="s">
        <v>5</v>
      </c>
      <c r="D2259" s="16" t="str">
        <f>HYPERLINK("https://freddywills.com/pick/1684/nc-state-14-5.html", "NC State +14.5")</f>
        <v>NC State +14.5</v>
      </c>
      <c r="E2259" s="11">
        <v>3.3</v>
      </c>
      <c r="F2259" s="11">
        <v>-1.1000000000000001</v>
      </c>
      <c r="G2259" s="11" t="s">
        <v>4</v>
      </c>
      <c r="H2259" s="13">
        <v>3000</v>
      </c>
      <c r="I2259" s="14">
        <f t="shared" si="82"/>
        <v>-6.675419999999993E-2</v>
      </c>
      <c r="J2259" s="13">
        <f t="shared" si="81"/>
        <v>198082.92999999993</v>
      </c>
    </row>
    <row r="2260" spans="1:10" x14ac:dyDescent="0.25">
      <c r="A2260" s="10">
        <v>41533</v>
      </c>
      <c r="B2260" s="11" t="s">
        <v>2</v>
      </c>
      <c r="C2260" s="11" t="s">
        <v>5</v>
      </c>
      <c r="D2260" s="16" t="str">
        <f>HYPERLINK("https://freddywills.com/pick/1688/bengals-6.html", "Bengals -6")</f>
        <v>Bengals -6</v>
      </c>
      <c r="E2260" s="11">
        <v>3.3</v>
      </c>
      <c r="F2260" s="11">
        <v>-1.1000000000000001</v>
      </c>
      <c r="G2260" s="11" t="s">
        <v>4</v>
      </c>
      <c r="H2260" s="13">
        <v>3000</v>
      </c>
      <c r="I2260" s="14">
        <f t="shared" si="82"/>
        <v>-9.6754199999999929E-2</v>
      </c>
      <c r="J2260" s="13">
        <f t="shared" si="81"/>
        <v>195082.92999999993</v>
      </c>
    </row>
    <row r="2261" spans="1:10" x14ac:dyDescent="0.25">
      <c r="A2261" s="10">
        <v>41532</v>
      </c>
      <c r="B2261" s="11" t="s">
        <v>2</v>
      </c>
      <c r="C2261" s="11" t="s">
        <v>5</v>
      </c>
      <c r="D2261" s="16" t="str">
        <f>HYPERLINK("https://freddywills.com/pick/1691/dolphins-3-120.html", "Dolphins +3 -120")</f>
        <v>Dolphins +3 -120</v>
      </c>
      <c r="E2261" s="11">
        <v>3.5</v>
      </c>
      <c r="F2261" s="11">
        <v>-1.1000000000000001</v>
      </c>
      <c r="G2261" s="11" t="s">
        <v>4</v>
      </c>
      <c r="H2261" s="13">
        <v>3181.82</v>
      </c>
      <c r="I2261" s="14">
        <f t="shared" si="82"/>
        <v>-0.12675419999999993</v>
      </c>
      <c r="J2261" s="13">
        <f t="shared" si="81"/>
        <v>192082.92999999993</v>
      </c>
    </row>
    <row r="2262" spans="1:10" x14ac:dyDescent="0.25">
      <c r="A2262" s="10">
        <v>41532</v>
      </c>
      <c r="B2262" s="11" t="s">
        <v>2</v>
      </c>
      <c r="C2262" s="11" t="s">
        <v>5</v>
      </c>
      <c r="D2262" s="16" t="str">
        <f>HYPERLINK("https://freddywills.com/pick/1692/rams-6.html", "Rams +6")</f>
        <v>Rams +6</v>
      </c>
      <c r="E2262" s="11">
        <v>1.1000000000000001</v>
      </c>
      <c r="F2262" s="11">
        <v>-1.1000000000000001</v>
      </c>
      <c r="G2262" s="11" t="s">
        <v>6</v>
      </c>
      <c r="H2262" s="13">
        <v>-1100</v>
      </c>
      <c r="I2262" s="14">
        <f t="shared" si="82"/>
        <v>-0.15857239999999992</v>
      </c>
      <c r="J2262" s="13">
        <f t="shared" si="81"/>
        <v>188901.10999999993</v>
      </c>
    </row>
    <row r="2263" spans="1:10" x14ac:dyDescent="0.25">
      <c r="A2263" s="10">
        <v>41532</v>
      </c>
      <c r="B2263" s="11" t="s">
        <v>2</v>
      </c>
      <c r="C2263" s="11" t="s">
        <v>5</v>
      </c>
      <c r="D2263" s="16" t="str">
        <f>HYPERLINK("https://freddywills.com/pick/1693/chargers-7-5.html", "Chargers +7.5")</f>
        <v>Chargers +7.5</v>
      </c>
      <c r="E2263" s="11">
        <v>3.3</v>
      </c>
      <c r="F2263" s="11">
        <v>-1.1000000000000001</v>
      </c>
      <c r="G2263" s="11" t="s">
        <v>4</v>
      </c>
      <c r="H2263" s="13">
        <v>3000</v>
      </c>
      <c r="I2263" s="14">
        <f t="shared" si="82"/>
        <v>-0.14757239999999991</v>
      </c>
      <c r="J2263" s="13">
        <f t="shared" si="81"/>
        <v>190001.10999999993</v>
      </c>
    </row>
    <row r="2264" spans="1:10" x14ac:dyDescent="0.25">
      <c r="A2264" s="10">
        <v>41532</v>
      </c>
      <c r="B2264" s="11" t="s">
        <v>2</v>
      </c>
      <c r="C2264" s="11" t="s">
        <v>5</v>
      </c>
      <c r="D2264" s="16" t="str">
        <f>HYPERLINK("https://freddywills.com/pick/1694/giants-4-5.html", "Giants +4.5")</f>
        <v>Giants +4.5</v>
      </c>
      <c r="E2264" s="11">
        <v>4.4000000000000004</v>
      </c>
      <c r="F2264" s="11">
        <v>-1.1000000000000001</v>
      </c>
      <c r="G2264" s="11" t="s">
        <v>6</v>
      </c>
      <c r="H2264" s="13">
        <v>-4400</v>
      </c>
      <c r="I2264" s="14">
        <f t="shared" si="82"/>
        <v>-0.17757239999999991</v>
      </c>
      <c r="J2264" s="13">
        <f t="shared" si="81"/>
        <v>187001.10999999993</v>
      </c>
    </row>
    <row r="2265" spans="1:10" x14ac:dyDescent="0.25">
      <c r="A2265" s="10">
        <v>41532</v>
      </c>
      <c r="B2265" s="11" t="s">
        <v>2</v>
      </c>
      <c r="C2265" s="11" t="s">
        <v>5</v>
      </c>
      <c r="D2265" s="16" t="str">
        <f>HYPERLINK("https://freddywills.com/pick/1695/tb-bucs-3-5-115.html", "TB Bucs +3.5 -115")</f>
        <v>TB Bucs +3.5 -115</v>
      </c>
      <c r="E2265" s="11">
        <v>5.5</v>
      </c>
      <c r="F2265" s="11">
        <v>-1.1499999999999999</v>
      </c>
      <c r="G2265" s="11" t="s">
        <v>4</v>
      </c>
      <c r="H2265" s="13">
        <v>4782.6099999999997</v>
      </c>
      <c r="I2265" s="14">
        <f t="shared" si="82"/>
        <v>-0.13357239999999992</v>
      </c>
      <c r="J2265" s="13">
        <f t="shared" si="81"/>
        <v>191401.10999999993</v>
      </c>
    </row>
    <row r="2266" spans="1:10" x14ac:dyDescent="0.25">
      <c r="A2266" s="10">
        <v>41532</v>
      </c>
      <c r="B2266" s="11" t="s">
        <v>2</v>
      </c>
      <c r="C2266" s="11" t="s">
        <v>5</v>
      </c>
      <c r="D2266" s="16" t="str">
        <f>HYPERLINK("https://freddywills.com/pick/1696/chargers-7-5.html", "Chargers +7.5")</f>
        <v>Chargers +7.5</v>
      </c>
      <c r="E2266" s="11">
        <v>3.3</v>
      </c>
      <c r="F2266" s="11">
        <v>-1.1000000000000001</v>
      </c>
      <c r="G2266" s="11" t="s">
        <v>4</v>
      </c>
      <c r="H2266" s="13">
        <v>3000</v>
      </c>
      <c r="I2266" s="14">
        <f t="shared" si="82"/>
        <v>-0.18139849999999993</v>
      </c>
      <c r="J2266" s="13">
        <f t="shared" si="81"/>
        <v>186618.49999999994</v>
      </c>
    </row>
    <row r="2267" spans="1:10" x14ac:dyDescent="0.25">
      <c r="A2267" s="10">
        <v>41531</v>
      </c>
      <c r="B2267" s="11" t="s">
        <v>8</v>
      </c>
      <c r="C2267" s="11" t="s">
        <v>5</v>
      </c>
      <c r="D2267" s="16" t="str">
        <f>HYPERLINK("https://freddywills.com/pick/1697/stanford-30.html", "Stanford -30")</f>
        <v>Stanford -30</v>
      </c>
      <c r="E2267" s="11">
        <v>2.2000000000000002</v>
      </c>
      <c r="F2267" s="11">
        <v>-1.1000000000000001</v>
      </c>
      <c r="G2267" s="11" t="s">
        <v>6</v>
      </c>
      <c r="H2267" s="13">
        <v>-2200</v>
      </c>
      <c r="I2267" s="14">
        <f t="shared" si="82"/>
        <v>-0.21139849999999993</v>
      </c>
      <c r="J2267" s="13">
        <f t="shared" si="81"/>
        <v>183618.49999999994</v>
      </c>
    </row>
    <row r="2268" spans="1:10" x14ac:dyDescent="0.25">
      <c r="A2268" s="10">
        <v>41531</v>
      </c>
      <c r="B2268" s="11" t="s">
        <v>8</v>
      </c>
      <c r="C2268" s="11" t="s">
        <v>5</v>
      </c>
      <c r="D2268" s="16" t="str">
        <f>HYPERLINK("https://freddywills.com/pick/1698/alabama-7-120.html", "Alabama -7 -120")</f>
        <v>Alabama -7 -120</v>
      </c>
      <c r="E2268" s="11">
        <v>3.5</v>
      </c>
      <c r="F2268" s="11">
        <v>-1.1000000000000001</v>
      </c>
      <c r="G2268" s="11" t="s">
        <v>9</v>
      </c>
      <c r="H2268" s="13">
        <v>0</v>
      </c>
      <c r="I2268" s="14">
        <f t="shared" si="82"/>
        <v>-0.18939849999999994</v>
      </c>
      <c r="J2268" s="13">
        <f t="shared" si="81"/>
        <v>185818.49999999994</v>
      </c>
    </row>
    <row r="2269" spans="1:10" x14ac:dyDescent="0.25">
      <c r="A2269" s="10">
        <v>41531</v>
      </c>
      <c r="B2269" s="11" t="s">
        <v>8</v>
      </c>
      <c r="C2269" s="11" t="s">
        <v>5</v>
      </c>
      <c r="D2269" s="16" t="str">
        <f>HYPERLINK("https://freddywills.com/pick/1700/utah-2-5-120.html", "Utah -2.5 -120")</f>
        <v>Utah -2.5 -120</v>
      </c>
      <c r="E2269" s="11">
        <v>2.5</v>
      </c>
      <c r="F2269" s="11">
        <v>-1.2</v>
      </c>
      <c r="G2269" s="11" t="s">
        <v>6</v>
      </c>
      <c r="H2269" s="13">
        <v>-2500</v>
      </c>
      <c r="I2269" s="14">
        <f t="shared" si="82"/>
        <v>-0.18939849999999994</v>
      </c>
      <c r="J2269" s="13">
        <f t="shared" si="81"/>
        <v>185818.49999999994</v>
      </c>
    </row>
    <row r="2270" spans="1:10" x14ac:dyDescent="0.25">
      <c r="A2270" s="10">
        <v>41531</v>
      </c>
      <c r="B2270" s="11" t="s">
        <v>8</v>
      </c>
      <c r="C2270" s="11" t="s">
        <v>5</v>
      </c>
      <c r="D2270" s="16" t="str">
        <f>HYPERLINK("https://freddywills.com/pick/1701/wisconsin-4-5.html", "Wisconsin +4.5")</f>
        <v>Wisconsin +4.5</v>
      </c>
      <c r="E2270" s="11">
        <v>3.3</v>
      </c>
      <c r="F2270" s="11">
        <v>-1.1000000000000001</v>
      </c>
      <c r="G2270" s="11" t="s">
        <v>4</v>
      </c>
      <c r="H2270" s="13">
        <v>3000</v>
      </c>
      <c r="I2270" s="14">
        <f t="shared" si="82"/>
        <v>-0.16439849999999995</v>
      </c>
      <c r="J2270" s="13">
        <f t="shared" si="81"/>
        <v>188318.49999999994</v>
      </c>
    </row>
    <row r="2271" spans="1:10" x14ac:dyDescent="0.25">
      <c r="A2271" s="10">
        <v>41531</v>
      </c>
      <c r="B2271" s="11" t="s">
        <v>8</v>
      </c>
      <c r="C2271" s="11" t="s">
        <v>5</v>
      </c>
      <c r="D2271" s="16" t="str">
        <f>HYPERLINK("https://freddywills.com/pick/1702/ucla-3-5-120.html", "UCLA +3.5 -120")</f>
        <v>UCLA +3.5 -120</v>
      </c>
      <c r="E2271" s="11">
        <v>3.5</v>
      </c>
      <c r="F2271" s="11">
        <v>-1.2</v>
      </c>
      <c r="G2271" s="11" t="s">
        <v>4</v>
      </c>
      <c r="H2271" s="13">
        <v>2916.67</v>
      </c>
      <c r="I2271" s="14">
        <f t="shared" si="82"/>
        <v>-0.19439849999999995</v>
      </c>
      <c r="J2271" s="13">
        <f t="shared" si="81"/>
        <v>185318.49999999994</v>
      </c>
    </row>
    <row r="2272" spans="1:10" x14ac:dyDescent="0.25">
      <c r="A2272" s="10">
        <v>41531</v>
      </c>
      <c r="B2272" s="11" t="s">
        <v>8</v>
      </c>
      <c r="C2272" s="11" t="s">
        <v>5</v>
      </c>
      <c r="D2272" s="16" t="str">
        <f>HYPERLINK("https://freddywills.com/pick/1703/bowling-green-3.html", "Bowling Green +3")</f>
        <v>Bowling Green +3</v>
      </c>
      <c r="E2272" s="11">
        <v>3.3</v>
      </c>
      <c r="F2272" s="11">
        <v>-1.1000000000000001</v>
      </c>
      <c r="G2272" s="11" t="s">
        <v>6</v>
      </c>
      <c r="H2272" s="13">
        <v>-3300</v>
      </c>
      <c r="I2272" s="14">
        <f t="shared" si="82"/>
        <v>-0.22356519999999994</v>
      </c>
      <c r="J2272" s="13">
        <f t="shared" si="81"/>
        <v>182401.82999999993</v>
      </c>
    </row>
    <row r="2273" spans="1:10" x14ac:dyDescent="0.25">
      <c r="A2273" s="10">
        <v>41529</v>
      </c>
      <c r="B2273" s="11" t="s">
        <v>8</v>
      </c>
      <c r="C2273" s="11" t="s">
        <v>5</v>
      </c>
      <c r="D2273" s="16" t="str">
        <f>HYPERLINK("https://freddywills.com/pick/1705/tcu-3.html", "TCU -3")</f>
        <v>TCU -3</v>
      </c>
      <c r="E2273" s="11">
        <v>4.4000000000000004</v>
      </c>
      <c r="F2273" s="11">
        <v>-1.1000000000000001</v>
      </c>
      <c r="G2273" s="11" t="s">
        <v>6</v>
      </c>
      <c r="H2273" s="13">
        <v>-4400</v>
      </c>
      <c r="I2273" s="14">
        <f t="shared" si="82"/>
        <v>-0.19056519999999993</v>
      </c>
      <c r="J2273" s="13">
        <f t="shared" si="81"/>
        <v>185701.82999999993</v>
      </c>
    </row>
    <row r="2274" spans="1:10" x14ac:dyDescent="0.25">
      <c r="A2274" s="10">
        <v>41526</v>
      </c>
      <c r="B2274" s="11" t="s">
        <v>2</v>
      </c>
      <c r="C2274" s="11" t="s">
        <v>5</v>
      </c>
      <c r="D2274" s="16" t="str">
        <f>HYPERLINK("https://freddywills.com/pick/1710/chargers-4-5.html", "Chargers +4.5")</f>
        <v>Chargers +4.5</v>
      </c>
      <c r="E2274" s="11">
        <v>5.5</v>
      </c>
      <c r="F2274" s="11">
        <v>-1.1000000000000001</v>
      </c>
      <c r="G2274" s="11" t="s">
        <v>4</v>
      </c>
      <c r="H2274" s="13">
        <v>5000</v>
      </c>
      <c r="I2274" s="14">
        <f t="shared" si="82"/>
        <v>-0.14656519999999995</v>
      </c>
      <c r="J2274" s="13">
        <f t="shared" si="81"/>
        <v>190101.82999999993</v>
      </c>
    </row>
    <row r="2275" spans="1:10" x14ac:dyDescent="0.25">
      <c r="A2275" s="10">
        <v>41526</v>
      </c>
      <c r="B2275" s="11" t="s">
        <v>2</v>
      </c>
      <c r="C2275" s="11" t="s">
        <v>5</v>
      </c>
      <c r="D2275" s="16" t="str">
        <f>HYPERLINK("https://freddywills.com/pick/1711/eagles-4.html", "Eagles +4")</f>
        <v>Eagles +4</v>
      </c>
      <c r="E2275" s="11">
        <v>3.3</v>
      </c>
      <c r="F2275" s="11">
        <v>-1.1000000000000001</v>
      </c>
      <c r="G2275" s="11" t="s">
        <v>4</v>
      </c>
      <c r="H2275" s="13">
        <v>3000</v>
      </c>
      <c r="I2275" s="14">
        <f t="shared" si="82"/>
        <v>-0.19656519999999994</v>
      </c>
      <c r="J2275" s="13">
        <f t="shared" si="81"/>
        <v>185101.82999999993</v>
      </c>
    </row>
    <row r="2276" spans="1:10" x14ac:dyDescent="0.25">
      <c r="A2276" s="10">
        <v>41525</v>
      </c>
      <c r="B2276" s="11" t="s">
        <v>2</v>
      </c>
      <c r="C2276" s="11" t="s">
        <v>5</v>
      </c>
      <c r="D2276" s="16" t="str">
        <f>HYPERLINK("https://freddywills.com/pick/1712/panthers-3-5.html", "Panthers +3.5")</f>
        <v>Panthers +3.5</v>
      </c>
      <c r="E2276" s="11">
        <v>5.5</v>
      </c>
      <c r="F2276" s="11">
        <v>-1.1000000000000001</v>
      </c>
      <c r="G2276" s="11" t="s">
        <v>6</v>
      </c>
      <c r="H2276" s="13">
        <v>-5500</v>
      </c>
      <c r="I2276" s="14">
        <f t="shared" si="82"/>
        <v>-0.22656519999999994</v>
      </c>
      <c r="J2276" s="13">
        <f t="shared" si="81"/>
        <v>182101.82999999993</v>
      </c>
    </row>
    <row r="2277" spans="1:10" x14ac:dyDescent="0.25">
      <c r="A2277" s="10">
        <v>41525</v>
      </c>
      <c r="B2277" s="11" t="s">
        <v>2</v>
      </c>
      <c r="C2277" s="11" t="s">
        <v>5</v>
      </c>
      <c r="D2277" s="16" t="str">
        <f>HYPERLINK("https://freddywills.com/pick/1713/bills-10-5.html", "Bills +10.5")</f>
        <v>Bills +10.5</v>
      </c>
      <c r="E2277" s="11">
        <v>3.3</v>
      </c>
      <c r="F2277" s="11">
        <v>-1.1000000000000001</v>
      </c>
      <c r="G2277" s="11" t="s">
        <v>4</v>
      </c>
      <c r="H2277" s="13">
        <v>3000</v>
      </c>
      <c r="I2277" s="14">
        <f t="shared" si="82"/>
        <v>-0.17156519999999995</v>
      </c>
      <c r="J2277" s="13">
        <f t="shared" si="81"/>
        <v>187601.82999999993</v>
      </c>
    </row>
    <row r="2278" spans="1:10" x14ac:dyDescent="0.25">
      <c r="A2278" s="10">
        <v>41525</v>
      </c>
      <c r="B2278" s="11" t="s">
        <v>2</v>
      </c>
      <c r="C2278" s="11" t="s">
        <v>5</v>
      </c>
      <c r="D2278" s="16" t="str">
        <f>HYPERLINK("https://freddywills.com/pick/1714/titans-6-5.html", "Titans +6.5")</f>
        <v>Titans +6.5</v>
      </c>
      <c r="E2278" s="11">
        <v>1.65</v>
      </c>
      <c r="F2278" s="11">
        <v>-1.1000000000000001</v>
      </c>
      <c r="G2278" s="11" t="s">
        <v>4</v>
      </c>
      <c r="H2278" s="13">
        <v>1500</v>
      </c>
      <c r="I2278" s="14">
        <f t="shared" si="82"/>
        <v>-0.20156519999999994</v>
      </c>
      <c r="J2278" s="13">
        <f t="shared" si="81"/>
        <v>184601.82999999993</v>
      </c>
    </row>
    <row r="2279" spans="1:10" x14ac:dyDescent="0.25">
      <c r="A2279" s="10">
        <v>41525</v>
      </c>
      <c r="B2279" s="11" t="s">
        <v>2</v>
      </c>
      <c r="C2279" s="11" t="s">
        <v>5</v>
      </c>
      <c r="D2279" s="16" t="str">
        <f>HYPERLINK("https://freddywills.com/pick/1715/saints-3-115.html", "Saints -3 -115")</f>
        <v>Saints -3 -115</v>
      </c>
      <c r="E2279" s="11">
        <v>3.5</v>
      </c>
      <c r="F2279" s="11">
        <v>-1.1499999999999999</v>
      </c>
      <c r="G2279" s="11" t="s">
        <v>4</v>
      </c>
      <c r="H2279" s="13">
        <v>3043.48</v>
      </c>
      <c r="I2279" s="14">
        <f t="shared" si="82"/>
        <v>-0.21656519999999996</v>
      </c>
      <c r="J2279" s="13">
        <f t="shared" si="81"/>
        <v>183101.82999999993</v>
      </c>
    </row>
    <row r="2280" spans="1:10" x14ac:dyDescent="0.25">
      <c r="A2280" s="10">
        <v>41525</v>
      </c>
      <c r="B2280" s="11" t="s">
        <v>2</v>
      </c>
      <c r="C2280" s="11" t="s">
        <v>5</v>
      </c>
      <c r="D2280" s="16" t="str">
        <f>HYPERLINK("https://freddywills.com/pick/1716/giants-3-5.html", "Giants +3.5")</f>
        <v>Giants +3.5</v>
      </c>
      <c r="E2280" s="11">
        <v>3</v>
      </c>
      <c r="F2280" s="11">
        <v>-1.1000000000000001</v>
      </c>
      <c r="G2280" s="11" t="s">
        <v>6</v>
      </c>
      <c r="H2280" s="13">
        <v>-3000</v>
      </c>
      <c r="I2280" s="14">
        <f t="shared" si="82"/>
        <v>-0.24699999999999997</v>
      </c>
      <c r="J2280" s="13">
        <f t="shared" si="81"/>
        <v>180058.34999999992</v>
      </c>
    </row>
    <row r="2281" spans="1:10" x14ac:dyDescent="0.25">
      <c r="A2281" s="10">
        <v>41524</v>
      </c>
      <c r="B2281" s="11" t="s">
        <v>8</v>
      </c>
      <c r="C2281" s="11" t="s">
        <v>5</v>
      </c>
      <c r="D2281" s="16" t="str">
        <f>HYPERLINK("https://freddywills.com/pick/1717/idaho-28.html", "Idaho +28")</f>
        <v>Idaho +28</v>
      </c>
      <c r="E2281" s="11">
        <v>1.65</v>
      </c>
      <c r="F2281" s="11">
        <v>-1.1000000000000001</v>
      </c>
      <c r="G2281" s="11" t="s">
        <v>6</v>
      </c>
      <c r="H2281" s="13">
        <v>-1650</v>
      </c>
      <c r="I2281" s="14">
        <f t="shared" si="82"/>
        <v>-0.21699999999999997</v>
      </c>
      <c r="J2281" s="13">
        <f t="shared" si="81"/>
        <v>183058.34999999992</v>
      </c>
    </row>
    <row r="2282" spans="1:10" x14ac:dyDescent="0.25">
      <c r="A2282" s="10">
        <v>41524</v>
      </c>
      <c r="B2282" s="11" t="s">
        <v>8</v>
      </c>
      <c r="C2282" s="11" t="s">
        <v>5</v>
      </c>
      <c r="D2282" s="16" t="str">
        <f>HYPERLINK("https://freddywills.com/pick/1718/florida-2-5-115.html", "Florida -2.5 -115")</f>
        <v>Florida -2.5 -115</v>
      </c>
      <c r="E2282" s="11">
        <v>3.5</v>
      </c>
      <c r="F2282" s="11">
        <v>-1.1499999999999999</v>
      </c>
      <c r="G2282" s="11" t="s">
        <v>6</v>
      </c>
      <c r="H2282" s="13">
        <v>-3500</v>
      </c>
      <c r="I2282" s="14">
        <f t="shared" si="82"/>
        <v>-0.20049999999999998</v>
      </c>
      <c r="J2282" s="13">
        <f t="shared" si="81"/>
        <v>184708.34999999992</v>
      </c>
    </row>
    <row r="2283" spans="1:10" x14ac:dyDescent="0.25">
      <c r="A2283" s="10">
        <v>41524</v>
      </c>
      <c r="B2283" s="11" t="s">
        <v>8</v>
      </c>
      <c r="C2283" s="11" t="s">
        <v>5</v>
      </c>
      <c r="D2283" s="16" t="str">
        <f>HYPERLINK("https://freddywills.com/pick/1719/south-carolina-3-5.html", "South Carolina +3.5")</f>
        <v>South Carolina +3.5</v>
      </c>
      <c r="E2283" s="11">
        <v>5.5</v>
      </c>
      <c r="F2283" s="11">
        <v>-1.1000000000000001</v>
      </c>
      <c r="G2283" s="11" t="s">
        <v>6</v>
      </c>
      <c r="H2283" s="13">
        <v>-5500</v>
      </c>
      <c r="I2283" s="14">
        <f t="shared" si="82"/>
        <v>-0.16549999999999998</v>
      </c>
      <c r="J2283" s="13">
        <f t="shared" si="81"/>
        <v>188208.34999999992</v>
      </c>
    </row>
    <row r="2284" spans="1:10" x14ac:dyDescent="0.25">
      <c r="A2284" s="10">
        <v>41524</v>
      </c>
      <c r="B2284" s="11" t="s">
        <v>8</v>
      </c>
      <c r="C2284" s="11" t="s">
        <v>5</v>
      </c>
      <c r="D2284" s="16" t="str">
        <f>HYPERLINK("https://freddywills.com/pick/1720/north-texas-4-5.html", "North Texas +4.5")</f>
        <v>North Texas +4.5</v>
      </c>
      <c r="E2284" s="11">
        <v>2.75</v>
      </c>
      <c r="F2284" s="11">
        <v>-1.1000000000000001</v>
      </c>
      <c r="G2284" s="11" t="s">
        <v>6</v>
      </c>
      <c r="H2284" s="13">
        <v>-2750</v>
      </c>
      <c r="I2284" s="14">
        <f t="shared" si="82"/>
        <v>-0.11049999999999997</v>
      </c>
      <c r="J2284" s="13">
        <f t="shared" si="81"/>
        <v>193708.34999999992</v>
      </c>
    </row>
    <row r="2285" spans="1:10" x14ac:dyDescent="0.25">
      <c r="A2285" s="10">
        <v>41524</v>
      </c>
      <c r="B2285" s="11" t="s">
        <v>8</v>
      </c>
      <c r="C2285" s="11" t="s">
        <v>18</v>
      </c>
      <c r="D2285" s="16" t="str">
        <f>HYPERLINK("https://freddywills.com/pick/1722/notre-dame-175.html", "Notre Dame -175")</f>
        <v>Notre Dame -175</v>
      </c>
      <c r="E2285" s="11">
        <v>3.5</v>
      </c>
      <c r="F2285" s="11">
        <v>-1.75</v>
      </c>
      <c r="G2285" s="11" t="s">
        <v>4</v>
      </c>
      <c r="H2285" s="13">
        <v>2000</v>
      </c>
      <c r="I2285" s="14">
        <f t="shared" si="82"/>
        <v>-8.2999999999999977E-2</v>
      </c>
      <c r="J2285" s="13">
        <f t="shared" si="81"/>
        <v>196458.34999999992</v>
      </c>
    </row>
    <row r="2286" spans="1:10" x14ac:dyDescent="0.25">
      <c r="A2286" s="10">
        <v>41524</v>
      </c>
      <c r="B2286" s="11" t="s">
        <v>8</v>
      </c>
      <c r="C2286" s="11" t="s">
        <v>5</v>
      </c>
      <c r="D2286" s="16" t="str">
        <f>HYPERLINK("https://freddywills.com/pick/1723/unlv-10-5-345.html", "UNLV +10.5 / +345")</f>
        <v>UNLV +10.5 / +345</v>
      </c>
      <c r="E2286" s="11">
        <v>4.3</v>
      </c>
      <c r="F2286" s="11">
        <v>3.45</v>
      </c>
      <c r="G2286" s="11" t="s">
        <v>6</v>
      </c>
      <c r="H2286" s="13">
        <v>-4300</v>
      </c>
      <c r="I2286" s="14">
        <f t="shared" si="82"/>
        <v>-0.10299999999999998</v>
      </c>
      <c r="J2286" s="13">
        <f t="shared" si="81"/>
        <v>194458.34999999992</v>
      </c>
    </row>
    <row r="2287" spans="1:10" x14ac:dyDescent="0.25">
      <c r="A2287" s="10">
        <v>41522</v>
      </c>
      <c r="B2287" s="11" t="s">
        <v>2</v>
      </c>
      <c r="C2287" s="11" t="s">
        <v>5</v>
      </c>
      <c r="D2287" s="16" t="str">
        <f>HYPERLINK("https://freddywills.com/pick/1728/ravens-7-5.html", "Ravens +7.5")</f>
        <v>Ravens +7.5</v>
      </c>
      <c r="E2287" s="11">
        <v>3.3</v>
      </c>
      <c r="F2287" s="11">
        <v>-1.1000000000000001</v>
      </c>
      <c r="G2287" s="11" t="s">
        <v>6</v>
      </c>
      <c r="H2287" s="13">
        <v>-3300</v>
      </c>
      <c r="I2287" s="14">
        <f t="shared" si="82"/>
        <v>-5.9999999999999984E-2</v>
      </c>
      <c r="J2287" s="13">
        <f t="shared" si="81"/>
        <v>198758.34999999992</v>
      </c>
    </row>
    <row r="2288" spans="1:10" x14ac:dyDescent="0.25">
      <c r="A2288" s="10">
        <v>41519</v>
      </c>
      <c r="B2288" s="11" t="s">
        <v>8</v>
      </c>
      <c r="C2288" s="11" t="s">
        <v>7</v>
      </c>
      <c r="D2288" s="16" t="str">
        <f>HYPERLINK("https://freddywills.com/pick/1734/fsu-pitt-u48.html", "FSU/Pitt U48")</f>
        <v>FSU/Pitt U48</v>
      </c>
      <c r="E2288" s="11">
        <v>2.2000000000000002</v>
      </c>
      <c r="F2288" s="11">
        <v>-1.1000000000000001</v>
      </c>
      <c r="G2288" s="11" t="s">
        <v>6</v>
      </c>
      <c r="H2288" s="13">
        <v>-2200</v>
      </c>
      <c r="I2288" s="14">
        <f t="shared" si="82"/>
        <v>-2.6999999999999982E-2</v>
      </c>
      <c r="J2288" s="13">
        <f t="shared" si="81"/>
        <v>202058.34999999992</v>
      </c>
    </row>
    <row r="2289" spans="1:10" x14ac:dyDescent="0.25">
      <c r="A2289" s="10">
        <v>41519</v>
      </c>
      <c r="B2289" s="11" t="s">
        <v>8</v>
      </c>
      <c r="C2289" s="11" t="s">
        <v>5</v>
      </c>
      <c r="D2289" s="16" t="str">
        <f>HYPERLINK("https://freddywills.com/pick/1735/pitt-11-5.html", "Pitt +11.5")</f>
        <v>Pitt +11.5</v>
      </c>
      <c r="E2289" s="11">
        <v>3.3</v>
      </c>
      <c r="F2289" s="11">
        <v>-1.1000000000000001</v>
      </c>
      <c r="G2289" s="11" t="s">
        <v>6</v>
      </c>
      <c r="H2289" s="13">
        <v>-3300</v>
      </c>
      <c r="I2289" s="14">
        <f t="shared" si="82"/>
        <v>-4.9999999999999836E-3</v>
      </c>
      <c r="J2289" s="13">
        <f t="shared" si="81"/>
        <v>204258.34999999992</v>
      </c>
    </row>
    <row r="2290" spans="1:10" x14ac:dyDescent="0.25">
      <c r="A2290" s="10">
        <v>41518</v>
      </c>
      <c r="B2290" s="11" t="s">
        <v>8</v>
      </c>
      <c r="C2290" s="11" t="s">
        <v>5</v>
      </c>
      <c r="D2290" s="16" t="str">
        <f>HYPERLINK("https://freddywills.com/pick/1738/col-st-2-5.html", "Col St -2.5")</f>
        <v>Col St -2.5</v>
      </c>
      <c r="E2290" s="11">
        <v>3</v>
      </c>
      <c r="F2290" s="11">
        <v>-1.1000000000000001</v>
      </c>
      <c r="G2290" s="11" t="s">
        <v>6</v>
      </c>
      <c r="H2290" s="13">
        <v>-3000</v>
      </c>
      <c r="I2290" s="14">
        <f t="shared" si="82"/>
        <v>2.8000000000000018E-2</v>
      </c>
      <c r="J2290" s="13">
        <f t="shared" si="81"/>
        <v>207558.34999999992</v>
      </c>
    </row>
    <row r="2291" spans="1:10" x14ac:dyDescent="0.25">
      <c r="A2291" s="10">
        <v>41517</v>
      </c>
      <c r="B2291" s="11" t="s">
        <v>8</v>
      </c>
      <c r="C2291" s="11" t="s">
        <v>5</v>
      </c>
      <c r="D2291" s="16" t="str">
        <f>HYPERLINK("https://freddywills.com/pick/1741/washington-3-5.html", "Washington -3.5")</f>
        <v>Washington -3.5</v>
      </c>
      <c r="E2291" s="11">
        <v>3.3</v>
      </c>
      <c r="F2291" s="11">
        <v>-1.1000000000000001</v>
      </c>
      <c r="G2291" s="11" t="s">
        <v>4</v>
      </c>
      <c r="H2291" s="13">
        <v>3000</v>
      </c>
      <c r="I2291" s="14">
        <f t="shared" si="82"/>
        <v>5.8000000000000017E-2</v>
      </c>
      <c r="J2291" s="13">
        <f t="shared" si="81"/>
        <v>210558.34999999992</v>
      </c>
    </row>
    <row r="2292" spans="1:10" x14ac:dyDescent="0.25">
      <c r="A2292" s="10">
        <v>41517</v>
      </c>
      <c r="B2292" s="11" t="s">
        <v>8</v>
      </c>
      <c r="C2292" s="11" t="s">
        <v>5</v>
      </c>
      <c r="D2292" s="16" t="str">
        <f>HYPERLINK("https://freddywills.com/pick/1742/cal-6.html", "Cal +6")</f>
        <v>Cal +6</v>
      </c>
      <c r="E2292" s="11">
        <v>2.2000000000000002</v>
      </c>
      <c r="F2292" s="11">
        <v>-1.1000000000000001</v>
      </c>
      <c r="G2292" s="11" t="s">
        <v>6</v>
      </c>
      <c r="H2292" s="13">
        <v>-2200</v>
      </c>
      <c r="I2292" s="14">
        <f t="shared" si="82"/>
        <v>2.8000000000000018E-2</v>
      </c>
      <c r="J2292" s="13">
        <f t="shared" si="81"/>
        <v>207558.34999999992</v>
      </c>
    </row>
    <row r="2293" spans="1:10" x14ac:dyDescent="0.25">
      <c r="A2293" s="10">
        <v>41517</v>
      </c>
      <c r="B2293" s="11" t="s">
        <v>8</v>
      </c>
      <c r="C2293" s="11" t="s">
        <v>5</v>
      </c>
      <c r="D2293" s="16" t="str">
        <f>HYPERLINK("https://freddywills.com/pick/1743/la-lafayette-10-5.html", "LA Lafayette +10.5")</f>
        <v>LA Lafayette +10.5</v>
      </c>
      <c r="E2293" s="11">
        <v>4.4000000000000004</v>
      </c>
      <c r="F2293" s="11">
        <v>-1.1000000000000001</v>
      </c>
      <c r="G2293" s="11" t="s">
        <v>6</v>
      </c>
      <c r="H2293" s="13">
        <v>-4400</v>
      </c>
      <c r="I2293" s="14">
        <f t="shared" si="82"/>
        <v>5.0000000000000017E-2</v>
      </c>
      <c r="J2293" s="13">
        <f t="shared" si="81"/>
        <v>209758.34999999992</v>
      </c>
    </row>
    <row r="2294" spans="1:10" x14ac:dyDescent="0.25">
      <c r="A2294" s="10">
        <v>41517</v>
      </c>
      <c r="B2294" s="11" t="s">
        <v>8</v>
      </c>
      <c r="C2294" s="11" t="s">
        <v>5</v>
      </c>
      <c r="D2294" s="16" t="str">
        <f>HYPERLINK("https://freddywills.com/pick/1744/virginia-1.html", "Virginia +1")</f>
        <v>Virginia +1</v>
      </c>
      <c r="E2294" s="11">
        <v>3.3</v>
      </c>
      <c r="F2294" s="11">
        <v>-1.1000000000000001</v>
      </c>
      <c r="G2294" s="11" t="s">
        <v>4</v>
      </c>
      <c r="H2294" s="13">
        <v>3000</v>
      </c>
      <c r="I2294" s="14">
        <f t="shared" si="82"/>
        <v>9.4000000000000014E-2</v>
      </c>
      <c r="J2294" s="13">
        <f t="shared" si="81"/>
        <v>214158.34999999992</v>
      </c>
    </row>
    <row r="2295" spans="1:10" x14ac:dyDescent="0.25">
      <c r="A2295" s="10">
        <v>41517</v>
      </c>
      <c r="B2295" s="11" t="s">
        <v>8</v>
      </c>
      <c r="C2295" s="11" t="s">
        <v>5</v>
      </c>
      <c r="D2295" s="16" t="str">
        <f>HYPERLINK("https://freddywills.com/pick/1745/la-tech-14.html", "LA Tech +14")</f>
        <v>LA Tech +14</v>
      </c>
      <c r="E2295" s="11">
        <v>1.1000000000000001</v>
      </c>
      <c r="F2295" s="11">
        <v>-1.1000000000000001</v>
      </c>
      <c r="G2295" s="11" t="s">
        <v>6</v>
      </c>
      <c r="H2295" s="13">
        <v>-1100</v>
      </c>
      <c r="I2295" s="14">
        <f t="shared" si="82"/>
        <v>6.4000000000000015E-2</v>
      </c>
      <c r="J2295" s="13">
        <f t="shared" si="81"/>
        <v>211158.34999999992</v>
      </c>
    </row>
    <row r="2296" spans="1:10" x14ac:dyDescent="0.25">
      <c r="A2296" s="10">
        <v>41516</v>
      </c>
      <c r="B2296" s="11" t="s">
        <v>8</v>
      </c>
      <c r="C2296" s="11" t="s">
        <v>5</v>
      </c>
      <c r="D2296" s="16" t="str">
        <f>HYPERLINK("https://freddywills.com/pick/1748/smu-4-5.html", "SMU +4.5")</f>
        <v>SMU +4.5</v>
      </c>
      <c r="E2296" s="11">
        <v>3.3</v>
      </c>
      <c r="F2296" s="11">
        <v>-1.1000000000000001</v>
      </c>
      <c r="G2296" s="11" t="s">
        <v>6</v>
      </c>
      <c r="H2296" s="13">
        <v>-3300</v>
      </c>
      <c r="I2296" s="14">
        <f t="shared" si="82"/>
        <v>7.5000000000000011E-2</v>
      </c>
      <c r="J2296" s="13">
        <f t="shared" si="81"/>
        <v>212258.34999999992</v>
      </c>
    </row>
    <row r="2297" spans="1:10" x14ac:dyDescent="0.25">
      <c r="A2297" s="10">
        <v>41515</v>
      </c>
      <c r="B2297" s="11" t="s">
        <v>8</v>
      </c>
      <c r="C2297" s="11" t="s">
        <v>5</v>
      </c>
      <c r="D2297" s="16" t="str">
        <f>HYPERLINK("https://freddywills.com/pick/1753/utah-st-3.html", "Utah St+3")</f>
        <v>Utah St+3</v>
      </c>
      <c r="E2297" s="11">
        <v>3</v>
      </c>
      <c r="F2297" s="11">
        <v>-1.1000000000000001</v>
      </c>
      <c r="G2297" s="11" t="s">
        <v>6</v>
      </c>
      <c r="H2297" s="13">
        <v>-3000</v>
      </c>
      <c r="I2297" s="14">
        <f t="shared" si="82"/>
        <v>0.10800000000000001</v>
      </c>
      <c r="J2297" s="13">
        <f t="shared" si="81"/>
        <v>215558.34999999992</v>
      </c>
    </row>
    <row r="2298" spans="1:10" x14ac:dyDescent="0.25">
      <c r="A2298" s="10">
        <v>41515</v>
      </c>
      <c r="B2298" s="11" t="s">
        <v>8</v>
      </c>
      <c r="C2298" s="11" t="s">
        <v>5</v>
      </c>
      <c r="D2298" s="16" t="str">
        <f>HYPERLINK("https://freddywills.com/pick/1754/south-carolina-11-5.html", "South Carolina -11.5")</f>
        <v>South Carolina -11.5</v>
      </c>
      <c r="E2298" s="11">
        <v>4.4000000000000004</v>
      </c>
      <c r="F2298" s="11">
        <v>-1.1000000000000001</v>
      </c>
      <c r="G2298" s="11" t="s">
        <v>4</v>
      </c>
      <c r="H2298" s="13">
        <v>4000</v>
      </c>
      <c r="I2298" s="14">
        <f t="shared" si="82"/>
        <v>0.13800000000000001</v>
      </c>
      <c r="J2298" s="13">
        <f t="shared" si="81"/>
        <v>218558.34999999992</v>
      </c>
    </row>
    <row r="2299" spans="1:10" x14ac:dyDescent="0.25">
      <c r="A2299" s="10">
        <v>41515</v>
      </c>
      <c r="B2299" s="11" t="s">
        <v>8</v>
      </c>
      <c r="C2299" s="11" t="s">
        <v>5</v>
      </c>
      <c r="D2299" s="16" t="str">
        <f>HYPERLINK("https://freddywills.com/pick/1755/unlv-14.html", "UNLV +14")</f>
        <v>UNLV +14</v>
      </c>
      <c r="E2299" s="11">
        <v>1.1000000000000001</v>
      </c>
      <c r="F2299" s="11">
        <v>-1.1000000000000001</v>
      </c>
      <c r="G2299" s="11" t="s">
        <v>6</v>
      </c>
      <c r="H2299" s="13">
        <v>-1100</v>
      </c>
      <c r="I2299" s="14">
        <f t="shared" si="82"/>
        <v>9.8000000000000004E-2</v>
      </c>
      <c r="J2299" s="13">
        <f t="shared" si="81"/>
        <v>214558.34999999992</v>
      </c>
    </row>
    <row r="2300" spans="1:10" x14ac:dyDescent="0.25">
      <c r="A2300" s="10">
        <v>41511</v>
      </c>
      <c r="B2300" s="11" t="s">
        <v>2</v>
      </c>
      <c r="C2300" s="11" t="s">
        <v>5</v>
      </c>
      <c r="D2300" s="16" t="str">
        <f>HYPERLINK("https://freddywills.com/pick/1762/saints-3.html", "Saints +3")</f>
        <v>Saints +3</v>
      </c>
      <c r="E2300" s="11">
        <v>3.3</v>
      </c>
      <c r="F2300" s="11">
        <v>-1.1000000000000001</v>
      </c>
      <c r="G2300" s="11" t="s">
        <v>4</v>
      </c>
      <c r="H2300" s="13">
        <v>3000</v>
      </c>
      <c r="I2300" s="14">
        <f t="shared" si="82"/>
        <v>0.109</v>
      </c>
      <c r="J2300" s="13">
        <f t="shared" ref="J2300:J2314" si="83">H2300+J2301</f>
        <v>215658.34999999992</v>
      </c>
    </row>
    <row r="2301" spans="1:10" x14ac:dyDescent="0.25">
      <c r="A2301" s="10">
        <v>41511</v>
      </c>
      <c r="B2301" s="11" t="s">
        <v>2</v>
      </c>
      <c r="C2301" s="11" t="s">
        <v>5</v>
      </c>
      <c r="D2301" s="16" t="str">
        <f>HYPERLINK("https://freddywills.com/pick/1764/49ers-3.html", "49ers -3")</f>
        <v>49ers -3</v>
      </c>
      <c r="E2301" s="11">
        <v>3.3</v>
      </c>
      <c r="F2301" s="11">
        <v>-1.1000000000000001</v>
      </c>
      <c r="G2301" s="11" t="s">
        <v>4</v>
      </c>
      <c r="H2301" s="13">
        <v>3000</v>
      </c>
      <c r="I2301" s="14">
        <f t="shared" si="82"/>
        <v>7.9000000000000001E-2</v>
      </c>
      <c r="J2301" s="13">
        <f t="shared" si="83"/>
        <v>212658.34999999992</v>
      </c>
    </row>
    <row r="2302" spans="1:10" x14ac:dyDescent="0.25">
      <c r="A2302" s="10">
        <v>41510</v>
      </c>
      <c r="B2302" s="11" t="s">
        <v>2</v>
      </c>
      <c r="C2302" s="11" t="s">
        <v>5</v>
      </c>
      <c r="D2302" s="16" t="str">
        <f>HYPERLINK("https://freddywills.com/pick/1765/redskins-1-5.html", "Redskins +1.5")</f>
        <v>Redskins +1.5</v>
      </c>
      <c r="E2302" s="11">
        <v>3.3</v>
      </c>
      <c r="F2302" s="11">
        <v>-1.1000000000000001</v>
      </c>
      <c r="G2302" s="11" t="s">
        <v>4</v>
      </c>
      <c r="H2302" s="13">
        <v>3000</v>
      </c>
      <c r="I2302" s="14">
        <f t="shared" si="82"/>
        <v>4.9000000000000002E-2</v>
      </c>
      <c r="J2302" s="13">
        <f t="shared" si="83"/>
        <v>209658.34999999992</v>
      </c>
    </row>
    <row r="2303" spans="1:10" x14ac:dyDescent="0.25">
      <c r="A2303" s="10">
        <v>41510</v>
      </c>
      <c r="B2303" s="11" t="s">
        <v>2</v>
      </c>
      <c r="C2303" s="11" t="s">
        <v>5</v>
      </c>
      <c r="D2303" s="16" t="str">
        <f>HYPERLINK("https://freddywills.com/pick/1766/browns-2-5.html", "Browns +2.5")</f>
        <v>Browns +2.5</v>
      </c>
      <c r="E2303" s="11">
        <v>3.3</v>
      </c>
      <c r="F2303" s="11">
        <v>-1.1000000000000001</v>
      </c>
      <c r="G2303" s="11" t="s">
        <v>6</v>
      </c>
      <c r="H2303" s="13">
        <v>-3300</v>
      </c>
      <c r="I2303" s="14">
        <f t="shared" si="82"/>
        <v>1.9000000000000003E-2</v>
      </c>
      <c r="J2303" s="13">
        <f t="shared" si="83"/>
        <v>206658.34999999992</v>
      </c>
    </row>
    <row r="2304" spans="1:10" x14ac:dyDescent="0.25">
      <c r="A2304" s="10">
        <v>41509</v>
      </c>
      <c r="B2304" s="11" t="s">
        <v>2</v>
      </c>
      <c r="C2304" s="11" t="s">
        <v>5</v>
      </c>
      <c r="D2304" s="16" t="str">
        <f>HYPERLINK("https://freddywills.com/pick/1772/seahawks-2-5.html", "Seahawks -2.5")</f>
        <v>Seahawks -2.5</v>
      </c>
      <c r="E2304" s="11">
        <v>3.3</v>
      </c>
      <c r="F2304" s="11">
        <v>-1.1000000000000001</v>
      </c>
      <c r="G2304" s="11" t="s">
        <v>4</v>
      </c>
      <c r="H2304" s="13">
        <v>3000</v>
      </c>
      <c r="I2304" s="14">
        <f t="shared" si="82"/>
        <v>5.2000000000000005E-2</v>
      </c>
      <c r="J2304" s="13">
        <f t="shared" si="83"/>
        <v>209958.34999999992</v>
      </c>
    </row>
    <row r="2305" spans="1:10" x14ac:dyDescent="0.25">
      <c r="A2305" s="10">
        <v>41508</v>
      </c>
      <c r="B2305" s="11" t="s">
        <v>2</v>
      </c>
      <c r="C2305" s="11" t="s">
        <v>5</v>
      </c>
      <c r="D2305" s="16" t="str">
        <f>HYPERLINK("https://freddywills.com/pick/1774/lions-2.html", "Lions -2")</f>
        <v>Lions -2</v>
      </c>
      <c r="E2305" s="11">
        <v>3.3</v>
      </c>
      <c r="F2305" s="11">
        <v>-1.1000000000000001</v>
      </c>
      <c r="G2305" s="11" t="s">
        <v>4</v>
      </c>
      <c r="H2305" s="13">
        <v>3000</v>
      </c>
      <c r="I2305" s="14">
        <f t="shared" si="82"/>
        <v>2.2000000000000002E-2</v>
      </c>
      <c r="J2305" s="13">
        <f t="shared" si="83"/>
        <v>206958.34999999992</v>
      </c>
    </row>
    <row r="2306" spans="1:10" x14ac:dyDescent="0.25">
      <c r="A2306" s="10">
        <v>41508</v>
      </c>
      <c r="B2306" s="11" t="s">
        <v>2</v>
      </c>
      <c r="C2306" s="11" t="s">
        <v>5</v>
      </c>
      <c r="D2306" s="16" t="str">
        <f>HYPERLINK("https://freddywills.com/pick/1775/ravens-1-5-1h.html", "Ravens -1.5 1H")</f>
        <v>Ravens -1.5 1H</v>
      </c>
      <c r="E2306" s="11">
        <v>1.1000000000000001</v>
      </c>
      <c r="F2306" s="11">
        <v>-1.1000000000000001</v>
      </c>
      <c r="G2306" s="11" t="s">
        <v>6</v>
      </c>
      <c r="H2306" s="13">
        <v>-1100</v>
      </c>
      <c r="I2306" s="14">
        <f t="shared" si="82"/>
        <v>-7.9999999999999967E-3</v>
      </c>
      <c r="J2306" s="13">
        <f t="shared" si="83"/>
        <v>203958.34999999992</v>
      </c>
    </row>
    <row r="2307" spans="1:10" x14ac:dyDescent="0.25">
      <c r="A2307" s="10">
        <v>41505</v>
      </c>
      <c r="B2307" s="11" t="s">
        <v>2</v>
      </c>
      <c r="C2307" s="11" t="s">
        <v>5</v>
      </c>
      <c r="D2307" s="16" t="str">
        <f>HYPERLINK("https://freddywills.com/pick/1783/redskins-2-5.html", "Redskins -2.5")</f>
        <v>Redskins -2.5</v>
      </c>
      <c r="E2307" s="11">
        <v>3.3</v>
      </c>
      <c r="F2307" s="11">
        <v>-1.1000000000000001</v>
      </c>
      <c r="G2307" s="11" t="s">
        <v>4</v>
      </c>
      <c r="H2307" s="13">
        <v>3000</v>
      </c>
      <c r="I2307" s="14">
        <f t="shared" si="82"/>
        <v>3.0000000000000027E-3</v>
      </c>
      <c r="J2307" s="13">
        <f t="shared" si="83"/>
        <v>205058.34999999992</v>
      </c>
    </row>
    <row r="2308" spans="1:10" x14ac:dyDescent="0.25">
      <c r="A2308" s="10">
        <v>41503</v>
      </c>
      <c r="B2308" s="11" t="s">
        <v>2</v>
      </c>
      <c r="C2308" s="11" t="s">
        <v>5</v>
      </c>
      <c r="D2308" s="16" t="str">
        <f>HYPERLINK("https://freddywills.com/pick/1787/titans-2-5.html", "Titans +2.5")</f>
        <v>Titans +2.5</v>
      </c>
      <c r="E2308" s="11">
        <v>3.3</v>
      </c>
      <c r="F2308" s="11">
        <v>-1.1000000000000001</v>
      </c>
      <c r="G2308" s="11" t="s">
        <v>6</v>
      </c>
      <c r="H2308" s="13">
        <v>-3300</v>
      </c>
      <c r="I2308" s="14">
        <f t="shared" si="82"/>
        <v>-2.6999999999999996E-2</v>
      </c>
      <c r="J2308" s="13">
        <f t="shared" si="83"/>
        <v>202058.34999999992</v>
      </c>
    </row>
    <row r="2309" spans="1:10" x14ac:dyDescent="0.25">
      <c r="A2309" s="10">
        <v>41502</v>
      </c>
      <c r="B2309" s="11" t="s">
        <v>2</v>
      </c>
      <c r="C2309" s="11" t="s">
        <v>5</v>
      </c>
      <c r="D2309" s="16" t="str">
        <f>HYPERLINK("https://freddywills.com/pick/1793/vikings-4.html", "Vikings +4")</f>
        <v>Vikings +4</v>
      </c>
      <c r="E2309" s="11">
        <v>2.2000000000000002</v>
      </c>
      <c r="F2309" s="11">
        <v>-1.1000000000000001</v>
      </c>
      <c r="G2309" s="11" t="s">
        <v>9</v>
      </c>
      <c r="H2309" s="13">
        <v>0</v>
      </c>
      <c r="I2309" s="14">
        <f t="shared" si="82"/>
        <v>6.0000000000000053E-3</v>
      </c>
      <c r="J2309" s="13">
        <f t="shared" si="83"/>
        <v>205358.34999999992</v>
      </c>
    </row>
    <row r="2310" spans="1:10" x14ac:dyDescent="0.25">
      <c r="A2310" s="10">
        <v>41502</v>
      </c>
      <c r="B2310" s="11" t="s">
        <v>2</v>
      </c>
      <c r="C2310" s="11" t="s">
        <v>5</v>
      </c>
      <c r="D2310" s="16" t="str">
        <f>HYPERLINK("https://freddywills.com/pick/1794/bucs-3.html", "Bucs +3")</f>
        <v>Bucs +3</v>
      </c>
      <c r="E2310" s="11">
        <v>4.4000000000000004</v>
      </c>
      <c r="F2310" s="11">
        <v>-1.1000000000000001</v>
      </c>
      <c r="G2310" s="11" t="s">
        <v>6</v>
      </c>
      <c r="H2310" s="13">
        <v>-4400</v>
      </c>
      <c r="I2310" s="14">
        <f t="shared" si="82"/>
        <v>6.0000000000000053E-3</v>
      </c>
      <c r="J2310" s="13">
        <f t="shared" si="83"/>
        <v>205358.34999999992</v>
      </c>
    </row>
    <row r="2311" spans="1:10" x14ac:dyDescent="0.25">
      <c r="A2311" s="10">
        <v>41501</v>
      </c>
      <c r="B2311" s="11" t="s">
        <v>2</v>
      </c>
      <c r="C2311" s="11" t="s">
        <v>5</v>
      </c>
      <c r="D2311" s="16" t="str">
        <f>HYPERLINK("https://freddywills.com/pick/1799/eagles-3.html", "Eagles -3")</f>
        <v>Eagles -3</v>
      </c>
      <c r="E2311" s="11">
        <v>3.3</v>
      </c>
      <c r="F2311" s="11">
        <v>-1.1000000000000001</v>
      </c>
      <c r="G2311" s="11" t="s">
        <v>4</v>
      </c>
      <c r="H2311" s="13">
        <v>3000</v>
      </c>
      <c r="I2311" s="14">
        <f t="shared" si="82"/>
        <v>0.05</v>
      </c>
      <c r="J2311" s="13">
        <f t="shared" si="83"/>
        <v>209758.34999999992</v>
      </c>
    </row>
    <row r="2312" spans="1:10" x14ac:dyDescent="0.25">
      <c r="A2312" s="10">
        <v>41497</v>
      </c>
      <c r="B2312" s="11" t="s">
        <v>2</v>
      </c>
      <c r="C2312" s="11" t="s">
        <v>5</v>
      </c>
      <c r="D2312" s="16" t="str">
        <f>HYPERLINK("https://freddywills.com/pick/1809/colts-3-5.html", "Colts -3.5")</f>
        <v>Colts -3.5</v>
      </c>
      <c r="E2312" s="11">
        <v>3.3</v>
      </c>
      <c r="F2312" s="11">
        <v>-1.1000000000000001</v>
      </c>
      <c r="G2312" s="11" t="s">
        <v>6</v>
      </c>
      <c r="H2312" s="13">
        <v>-3300</v>
      </c>
      <c r="I2312" s="14">
        <f t="shared" ref="I2312:I2313" si="84">(H2312/100000)+I2313</f>
        <v>2.0000000000000004E-2</v>
      </c>
      <c r="J2312" s="13">
        <f t="shared" si="83"/>
        <v>206758.34999999992</v>
      </c>
    </row>
    <row r="2313" spans="1:10" x14ac:dyDescent="0.25">
      <c r="A2313" s="10">
        <v>41496</v>
      </c>
      <c r="B2313" s="11" t="s">
        <v>2</v>
      </c>
      <c r="C2313" s="11" t="s">
        <v>7</v>
      </c>
      <c r="D2313" s="16" t="str">
        <f>HYPERLINK("https://freddywills.com/pick/1811/giants-steelers-u36-100.html", "Giants/Steelers U36 +100")</f>
        <v>Giants/Steelers U36 +100</v>
      </c>
      <c r="E2313" s="11">
        <v>2.5</v>
      </c>
      <c r="F2313" s="11">
        <v>1</v>
      </c>
      <c r="G2313" s="11" t="s">
        <v>4</v>
      </c>
      <c r="H2313" s="13">
        <v>2500</v>
      </c>
      <c r="I2313" s="14">
        <f t="shared" si="84"/>
        <v>5.3000000000000005E-2</v>
      </c>
      <c r="J2313" s="13">
        <f t="shared" si="83"/>
        <v>210058.34999999992</v>
      </c>
    </row>
    <row r="2314" spans="1:10" x14ac:dyDescent="0.25">
      <c r="A2314" s="10">
        <v>41495</v>
      </c>
      <c r="B2314" s="11" t="s">
        <v>2</v>
      </c>
      <c r="C2314" s="11" t="s">
        <v>7</v>
      </c>
      <c r="D2314" s="16" t="str">
        <f>HYPERLINK("https://freddywills.com/pick/1816/nyj-det-o36-5.html", "NYJ/DET O36.5")</f>
        <v>NYJ/DET O36.5</v>
      </c>
      <c r="E2314" s="11">
        <v>2.75</v>
      </c>
      <c r="F2314" s="11">
        <v>-1.1000000000000001</v>
      </c>
      <c r="G2314" s="11" t="s">
        <v>4</v>
      </c>
      <c r="H2314" s="13">
        <v>2500</v>
      </c>
      <c r="I2314" s="14">
        <f t="shared" ref="I2314:I2316" si="85">(H2314/100000)+I2315</f>
        <v>2.8000000000000004E-2</v>
      </c>
      <c r="J2314" s="13">
        <f t="shared" si="83"/>
        <v>207558.34999999992</v>
      </c>
    </row>
    <row r="2315" spans="1:10" x14ac:dyDescent="0.25">
      <c r="A2315" s="10">
        <v>41495</v>
      </c>
      <c r="B2315" s="11" t="s">
        <v>2</v>
      </c>
      <c r="C2315" s="11" t="s">
        <v>5</v>
      </c>
      <c r="D2315" s="16" t="str">
        <f>HYPERLINK("https://freddywills.com/pick/1817/saints-3.html", "Saints -3")</f>
        <v>Saints -3</v>
      </c>
      <c r="E2315" s="11">
        <v>2.75</v>
      </c>
      <c r="F2315" s="11">
        <v>-1.1000000000000001</v>
      </c>
      <c r="G2315" s="11" t="s">
        <v>4</v>
      </c>
      <c r="H2315" s="13">
        <v>2500</v>
      </c>
      <c r="I2315" s="14">
        <f t="shared" si="85"/>
        <v>3.0000000000000027E-3</v>
      </c>
      <c r="J2315" s="13">
        <f>H2315+J2316</f>
        <v>205058.34999999992</v>
      </c>
    </row>
    <row r="2316" spans="1:10" x14ac:dyDescent="0.25">
      <c r="A2316" s="10">
        <v>41494</v>
      </c>
      <c r="B2316" s="11" t="s">
        <v>2</v>
      </c>
      <c r="C2316" s="11" t="s">
        <v>5</v>
      </c>
      <c r="D2316" s="16" t="str">
        <f>HYPERLINK("https://freddywills.com/pick/1820/bucaneers-3.html", "Bucaneers -3")</f>
        <v>Bucaneers -3</v>
      </c>
      <c r="E2316" s="11">
        <v>2.2000000000000002</v>
      </c>
      <c r="F2316" s="11">
        <v>-1.1000000000000001</v>
      </c>
      <c r="G2316" s="11" t="s">
        <v>6</v>
      </c>
      <c r="H2316" s="13">
        <v>-2200</v>
      </c>
      <c r="I2316" s="14">
        <f>H2316/100000</f>
        <v>-2.1999999999999999E-2</v>
      </c>
      <c r="J2316" s="13">
        <f>H2316+J2319</f>
        <v>202558.34999999992</v>
      </c>
    </row>
    <row r="2317" spans="1:10" x14ac:dyDescent="0.25">
      <c r="A2317" s="17" t="s">
        <v>22</v>
      </c>
      <c r="B2317" s="18"/>
      <c r="C2317" s="18"/>
      <c r="D2317" s="18"/>
      <c r="E2317" s="18"/>
      <c r="F2317" s="18"/>
      <c r="G2317" s="18"/>
      <c r="H2317" s="18"/>
      <c r="I2317" s="19">
        <v>100000</v>
      </c>
      <c r="J2317" s="17"/>
    </row>
    <row r="2318" spans="1:10" x14ac:dyDescent="0.25">
      <c r="A2318" s="8" t="s">
        <v>20</v>
      </c>
      <c r="B2318" s="9"/>
      <c r="C2318" s="9"/>
      <c r="D2318" s="9"/>
      <c r="E2318" s="9"/>
      <c r="F2318" s="9"/>
      <c r="G2318" s="9"/>
      <c r="H2318" s="9"/>
      <c r="I2318" s="9"/>
      <c r="J2318" s="9"/>
    </row>
    <row r="2319" spans="1:10" x14ac:dyDescent="0.25">
      <c r="A2319" s="10">
        <v>41308</v>
      </c>
      <c r="B2319" s="11" t="s">
        <v>2</v>
      </c>
      <c r="C2319" s="11" t="s">
        <v>3</v>
      </c>
      <c r="D2319" s="16" t="str">
        <f>HYPERLINK("https://freddywills.com/pick/2211/1st-td-game-prop.html", "1st TD Game Prop")</f>
        <v>1st TD Game Prop</v>
      </c>
      <c r="E2319" s="11">
        <v>2</v>
      </c>
      <c r="F2319" s="11">
        <v>-1.1000000000000001</v>
      </c>
      <c r="G2319" s="11" t="s">
        <v>6</v>
      </c>
      <c r="H2319" s="13">
        <v>-2000</v>
      </c>
      <c r="I2319" s="14">
        <f t="shared" ref="I2319:I2382" si="86">(H2319/100000)+I2320</f>
        <v>6.1346399999999593E-2</v>
      </c>
      <c r="J2319" s="13">
        <f t="shared" ref="J2319:J2382" si="87">H2319+J2320</f>
        <v>204758.34999999992</v>
      </c>
    </row>
    <row r="2320" spans="1:10" x14ac:dyDescent="0.25">
      <c r="A2320" s="10">
        <v>41308</v>
      </c>
      <c r="B2320" s="11" t="s">
        <v>2</v>
      </c>
      <c r="C2320" s="11" t="s">
        <v>3</v>
      </c>
      <c r="D2320" s="16" t="str">
        <f>HYPERLINK("https://freddywills.com/pick/2212/kaepernick-u55-5-rush-yards-135.html", "Kaepernick U55.5 rush yards -135")</f>
        <v>Kaepernick U55.5 rush yards -135</v>
      </c>
      <c r="E2320" s="11">
        <v>1.35</v>
      </c>
      <c r="F2320" s="11">
        <v>-1.1000000000000001</v>
      </c>
      <c r="G2320" s="11" t="s">
        <v>6</v>
      </c>
      <c r="H2320" s="13">
        <v>-1350</v>
      </c>
      <c r="I2320" s="14">
        <f t="shared" si="86"/>
        <v>8.1346399999999597E-2</v>
      </c>
      <c r="J2320" s="13">
        <f t="shared" si="87"/>
        <v>206758.34999999992</v>
      </c>
    </row>
    <row r="2321" spans="1:10" x14ac:dyDescent="0.25">
      <c r="A2321" s="10">
        <v>41308</v>
      </c>
      <c r="B2321" s="11" t="s">
        <v>2</v>
      </c>
      <c r="C2321" s="11" t="s">
        <v>3</v>
      </c>
      <c r="D2321" s="16" t="str">
        <f>HYPERLINK("https://freddywills.com/pick/2213/pitta-to-score-before-davis-120.html", "Pitta to score before Davis -120")</f>
        <v>Pitta to score before Davis -120</v>
      </c>
      <c r="E2321" s="11">
        <v>2.4</v>
      </c>
      <c r="F2321" s="11">
        <v>-1.1000000000000001</v>
      </c>
      <c r="G2321" s="11" t="s">
        <v>4</v>
      </c>
      <c r="H2321" s="13">
        <v>2000</v>
      </c>
      <c r="I2321" s="14">
        <f t="shared" si="86"/>
        <v>9.4846399999999595E-2</v>
      </c>
      <c r="J2321" s="13">
        <f t="shared" si="87"/>
        <v>208108.34999999992</v>
      </c>
    </row>
    <row r="2322" spans="1:10" x14ac:dyDescent="0.25">
      <c r="A2322" s="10">
        <v>41308</v>
      </c>
      <c r="B2322" s="11" t="s">
        <v>2</v>
      </c>
      <c r="C2322" s="11" t="s">
        <v>3</v>
      </c>
      <c r="D2322" s="16" t="str">
        <f>HYPERLINK("https://freddywills.com/pick/2214/2nd-half-more-points-125.html", "2nd Half More Points -125")</f>
        <v>2nd Half More Points -125</v>
      </c>
      <c r="E2322" s="11">
        <v>1.25</v>
      </c>
      <c r="F2322" s="11">
        <v>-1.1000000000000001</v>
      </c>
      <c r="G2322" s="11" t="s">
        <v>4</v>
      </c>
      <c r="H2322" s="13">
        <v>1000</v>
      </c>
      <c r="I2322" s="14">
        <f t="shared" si="86"/>
        <v>7.4846399999999591E-2</v>
      </c>
      <c r="J2322" s="13">
        <f t="shared" si="87"/>
        <v>206108.34999999992</v>
      </c>
    </row>
    <row r="2323" spans="1:10" x14ac:dyDescent="0.25">
      <c r="A2323" s="10">
        <v>41308</v>
      </c>
      <c r="B2323" s="11" t="s">
        <v>2</v>
      </c>
      <c r="C2323" s="11" t="s">
        <v>3</v>
      </c>
      <c r="D2323" s="16" t="str">
        <f>HYPERLINK("https://freddywills.com/pick/2215/vernon-davis-longest-catch-o20-5-115.html", "Vernon Davis Longest Catch O20.5 -115")</f>
        <v>Vernon Davis Longest Catch O20.5 -115</v>
      </c>
      <c r="E2323" s="11">
        <v>2.2999999999999998</v>
      </c>
      <c r="F2323" s="11">
        <v>-1.1000000000000001</v>
      </c>
      <c r="G2323" s="11" t="s">
        <v>4</v>
      </c>
      <c r="H2323" s="13">
        <v>2000</v>
      </c>
      <c r="I2323" s="14">
        <f t="shared" si="86"/>
        <v>6.4846399999999596E-2</v>
      </c>
      <c r="J2323" s="13">
        <f t="shared" si="87"/>
        <v>205108.34999999992</v>
      </c>
    </row>
    <row r="2324" spans="1:10" x14ac:dyDescent="0.25">
      <c r="A2324" s="10">
        <v>41308</v>
      </c>
      <c r="B2324" s="11" t="s">
        <v>2</v>
      </c>
      <c r="C2324" s="11" t="s">
        <v>3</v>
      </c>
      <c r="D2324" s="16" t="str">
        <f>HYPERLINK("https://freddywills.com/pick/2216/49ers-1st-score-a-fg-135.html", "49ers 1st score a FG +135")</f>
        <v>49ers 1st score a FG +135</v>
      </c>
      <c r="E2324" s="11">
        <v>1</v>
      </c>
      <c r="F2324" s="11">
        <v>-1.1000000000000001</v>
      </c>
      <c r="G2324" s="11" t="s">
        <v>4</v>
      </c>
      <c r="H2324" s="13">
        <v>1350</v>
      </c>
      <c r="I2324" s="14">
        <f t="shared" si="86"/>
        <v>4.4846399999999592E-2</v>
      </c>
      <c r="J2324" s="13">
        <f t="shared" si="87"/>
        <v>203108.34999999992</v>
      </c>
    </row>
    <row r="2325" spans="1:10" x14ac:dyDescent="0.25">
      <c r="A2325" s="10">
        <v>41308</v>
      </c>
      <c r="B2325" s="11" t="s">
        <v>2</v>
      </c>
      <c r="C2325" s="11" t="s">
        <v>3</v>
      </c>
      <c r="D2325" s="16" t="str">
        <f>HYPERLINK("https://freddywills.com/pick/2217/flacco-o1-5-td-passes-130.html", "Flacco O1.5 TD passes -130")</f>
        <v>Flacco O1.5 TD passes -130</v>
      </c>
      <c r="E2325" s="11">
        <v>1.3</v>
      </c>
      <c r="F2325" s="11">
        <v>-1.1000000000000001</v>
      </c>
      <c r="G2325" s="11" t="s">
        <v>4</v>
      </c>
      <c r="H2325" s="13">
        <v>1000</v>
      </c>
      <c r="I2325" s="14">
        <f t="shared" si="86"/>
        <v>3.1346399999999594E-2</v>
      </c>
      <c r="J2325" s="13">
        <f t="shared" si="87"/>
        <v>201758.34999999992</v>
      </c>
    </row>
    <row r="2326" spans="1:10" x14ac:dyDescent="0.25">
      <c r="A2326" s="10">
        <v>41308</v>
      </c>
      <c r="B2326" s="11" t="s">
        <v>2</v>
      </c>
      <c r="C2326" s="11" t="s">
        <v>3</v>
      </c>
      <c r="D2326" s="16" t="str">
        <f>HYPERLINK("https://freddywills.com/pick/2218/kaepernick-u1-5-td-passes-120.html", "Kaepernick U1.5 TD passes -120")</f>
        <v>Kaepernick U1.5 TD passes -120</v>
      </c>
      <c r="E2326" s="11">
        <v>1.2</v>
      </c>
      <c r="F2326" s="11">
        <v>-1.1000000000000001</v>
      </c>
      <c r="G2326" s="11" t="s">
        <v>4</v>
      </c>
      <c r="H2326" s="13">
        <v>1000</v>
      </c>
      <c r="I2326" s="14">
        <f t="shared" si="86"/>
        <v>2.1346399999999592E-2</v>
      </c>
      <c r="J2326" s="13">
        <f t="shared" si="87"/>
        <v>200758.34999999992</v>
      </c>
    </row>
    <row r="2327" spans="1:10" x14ac:dyDescent="0.25">
      <c r="A2327" s="10">
        <v>41308</v>
      </c>
      <c r="B2327" s="11" t="s">
        <v>2</v>
      </c>
      <c r="C2327" s="11" t="s">
        <v>5</v>
      </c>
      <c r="D2327" s="16" t="str">
        <f>HYPERLINK("https://freddywills.com/pick/2219/ravens-4.html", "Ravens +4")</f>
        <v>Ravens +4</v>
      </c>
      <c r="E2327" s="11">
        <v>5.5</v>
      </c>
      <c r="F2327" s="11">
        <v>-1.1000000000000001</v>
      </c>
      <c r="G2327" s="11" t="s">
        <v>4</v>
      </c>
      <c r="H2327" s="13">
        <v>5000</v>
      </c>
      <c r="I2327" s="14">
        <f t="shared" si="86"/>
        <v>1.134639999999959E-2</v>
      </c>
      <c r="J2327" s="13">
        <f t="shared" si="87"/>
        <v>199758.34999999992</v>
      </c>
    </row>
    <row r="2328" spans="1:10" x14ac:dyDescent="0.25">
      <c r="A2328" s="10">
        <v>41308</v>
      </c>
      <c r="B2328" s="11" t="s">
        <v>2</v>
      </c>
      <c r="C2328" s="11" t="s">
        <v>7</v>
      </c>
      <c r="D2328" s="16" t="str">
        <f>HYPERLINK("https://freddywills.com/pick/2220/bal-sf-u48.html", "Bal/SF U48")</f>
        <v>Bal/SF U48</v>
      </c>
      <c r="E2328" s="11">
        <v>3.3</v>
      </c>
      <c r="F2328" s="11">
        <v>-1.1000000000000001</v>
      </c>
      <c r="G2328" s="11" t="s">
        <v>6</v>
      </c>
      <c r="H2328" s="13">
        <v>-3300</v>
      </c>
      <c r="I2328" s="14">
        <f t="shared" si="86"/>
        <v>-3.8653600000000413E-2</v>
      </c>
      <c r="J2328" s="13">
        <f t="shared" si="87"/>
        <v>194758.34999999992</v>
      </c>
    </row>
    <row r="2329" spans="1:10" x14ac:dyDescent="0.25">
      <c r="A2329" s="10">
        <v>41294</v>
      </c>
      <c r="B2329" s="11" t="s">
        <v>2</v>
      </c>
      <c r="C2329" s="11" t="s">
        <v>5</v>
      </c>
      <c r="D2329" s="16" t="str">
        <f>HYPERLINK("https://freddywills.com/pick/2266/ravens-8.html", "Ravens +8")</f>
        <v>Ravens +8</v>
      </c>
      <c r="E2329" s="11">
        <v>3.3</v>
      </c>
      <c r="F2329" s="11">
        <v>-1.1000000000000001</v>
      </c>
      <c r="G2329" s="11" t="s">
        <v>4</v>
      </c>
      <c r="H2329" s="13">
        <v>3000</v>
      </c>
      <c r="I2329" s="14">
        <f t="shared" si="86"/>
        <v>-5.6536000000004111E-3</v>
      </c>
      <c r="J2329" s="13">
        <f t="shared" si="87"/>
        <v>198058.34999999992</v>
      </c>
    </row>
    <row r="2330" spans="1:10" x14ac:dyDescent="0.25">
      <c r="A2330" s="10">
        <v>41294</v>
      </c>
      <c r="B2330" s="11" t="s">
        <v>2</v>
      </c>
      <c r="C2330" s="11" t="s">
        <v>5</v>
      </c>
      <c r="D2330" s="16" t="str">
        <f>HYPERLINK("https://freddywills.com/pick/2267/falcons-4.html", "Falcons +4")</f>
        <v>Falcons +4</v>
      </c>
      <c r="E2330" s="11">
        <v>5.5</v>
      </c>
      <c r="F2330" s="11">
        <v>-1.1000000000000001</v>
      </c>
      <c r="G2330" s="11" t="s">
        <v>9</v>
      </c>
      <c r="H2330" s="13">
        <v>0</v>
      </c>
      <c r="I2330" s="14">
        <f t="shared" si="86"/>
        <v>-3.565360000000041E-2</v>
      </c>
      <c r="J2330" s="13">
        <f t="shared" si="87"/>
        <v>195058.34999999992</v>
      </c>
    </row>
    <row r="2331" spans="1:10" x14ac:dyDescent="0.25">
      <c r="A2331" s="10">
        <v>41294</v>
      </c>
      <c r="B2331" s="11" t="s">
        <v>2</v>
      </c>
      <c r="C2331" s="11" t="s">
        <v>18</v>
      </c>
      <c r="D2331" s="16" t="str">
        <f>HYPERLINK("https://freddywills.com/pick/2268/falcons-185.html", "Falcons +185")</f>
        <v>Falcons +185</v>
      </c>
      <c r="E2331" s="11">
        <v>3</v>
      </c>
      <c r="F2331" s="11">
        <v>1.85</v>
      </c>
      <c r="G2331" s="11" t="s">
        <v>6</v>
      </c>
      <c r="H2331" s="13">
        <v>-3000</v>
      </c>
      <c r="I2331" s="14">
        <f t="shared" si="86"/>
        <v>-3.565360000000041E-2</v>
      </c>
      <c r="J2331" s="13">
        <f t="shared" si="87"/>
        <v>195058.34999999992</v>
      </c>
    </row>
    <row r="2332" spans="1:10" x14ac:dyDescent="0.25">
      <c r="A2332" s="10">
        <v>41294</v>
      </c>
      <c r="B2332" s="11" t="s">
        <v>2</v>
      </c>
      <c r="C2332" s="11" t="s">
        <v>7</v>
      </c>
      <c r="D2332" s="16" t="str">
        <f>HYPERLINK("https://freddywills.com/pick/2269/falcons-49ers-u49-5.html", "Falcons/49ers U49.5")</f>
        <v>Falcons/49ers U49.5</v>
      </c>
      <c r="E2332" s="11">
        <v>2.2000000000000002</v>
      </c>
      <c r="F2332" s="11">
        <v>-1.1000000000000001</v>
      </c>
      <c r="G2332" s="11" t="s">
        <v>6</v>
      </c>
      <c r="H2332" s="13">
        <v>-2200</v>
      </c>
      <c r="I2332" s="14">
        <f t="shared" si="86"/>
        <v>-5.6536000000004111E-3</v>
      </c>
      <c r="J2332" s="13">
        <f t="shared" si="87"/>
        <v>198058.34999999992</v>
      </c>
    </row>
    <row r="2333" spans="1:10" x14ac:dyDescent="0.25">
      <c r="A2333" s="10">
        <v>41287</v>
      </c>
      <c r="B2333" s="11" t="s">
        <v>2</v>
      </c>
      <c r="C2333" s="11" t="s">
        <v>5</v>
      </c>
      <c r="D2333" s="16" t="str">
        <f>HYPERLINK("https://freddywills.com/pick/2289/atlanta-2-5.html", "Atlanta -2.5")</f>
        <v>Atlanta -2.5</v>
      </c>
      <c r="E2333" s="11">
        <v>5.5</v>
      </c>
      <c r="F2333" s="11">
        <v>-1.1000000000000001</v>
      </c>
      <c r="G2333" s="11" t="s">
        <v>6</v>
      </c>
      <c r="H2333" s="13">
        <v>-5500</v>
      </c>
      <c r="I2333" s="14">
        <f t="shared" si="86"/>
        <v>1.6346399999999588E-2</v>
      </c>
      <c r="J2333" s="13">
        <f t="shared" si="87"/>
        <v>200258.34999999992</v>
      </c>
    </row>
    <row r="2334" spans="1:10" x14ac:dyDescent="0.25">
      <c r="A2334" s="10">
        <v>41287</v>
      </c>
      <c r="B2334" s="11" t="s">
        <v>2</v>
      </c>
      <c r="C2334" s="11" t="s">
        <v>5</v>
      </c>
      <c r="D2334" s="16" t="str">
        <f>HYPERLINK("https://freddywills.com/pick/2290/texans-10.html", "Texans +10")</f>
        <v>Texans +10</v>
      </c>
      <c r="E2334" s="11">
        <v>2.75</v>
      </c>
      <c r="F2334" s="11">
        <v>-1.1000000000000001</v>
      </c>
      <c r="G2334" s="11" t="s">
        <v>6</v>
      </c>
      <c r="H2334" s="13">
        <v>-2750</v>
      </c>
      <c r="I2334" s="14">
        <f t="shared" si="86"/>
        <v>7.1346399999999588E-2</v>
      </c>
      <c r="J2334" s="13">
        <f t="shared" si="87"/>
        <v>205758.34999999992</v>
      </c>
    </row>
    <row r="2335" spans="1:10" x14ac:dyDescent="0.25">
      <c r="A2335" s="10">
        <v>41286</v>
      </c>
      <c r="B2335" s="11" t="s">
        <v>2</v>
      </c>
      <c r="C2335" s="11" t="s">
        <v>18</v>
      </c>
      <c r="D2335" s="16" t="str">
        <f>HYPERLINK("https://freddywills.com/pick/2293/packers-145.html", "Packers +145")</f>
        <v>Packers +145</v>
      </c>
      <c r="E2335" s="11">
        <v>2.5</v>
      </c>
      <c r="F2335" s="11">
        <v>1.45</v>
      </c>
      <c r="G2335" s="11" t="s">
        <v>6</v>
      </c>
      <c r="H2335" s="13">
        <v>-2500</v>
      </c>
      <c r="I2335" s="14">
        <f t="shared" si="86"/>
        <v>9.8846399999999585E-2</v>
      </c>
      <c r="J2335" s="13">
        <f t="shared" si="87"/>
        <v>208508.34999999992</v>
      </c>
    </row>
    <row r="2336" spans="1:10" x14ac:dyDescent="0.25">
      <c r="A2336" s="10">
        <v>41286</v>
      </c>
      <c r="B2336" s="11" t="s">
        <v>2</v>
      </c>
      <c r="C2336" s="11" t="s">
        <v>5</v>
      </c>
      <c r="D2336" s="16" t="str">
        <f>HYPERLINK("https://freddywills.com/pick/2294/ravens-10-125.html", "Ravens +10 -125")</f>
        <v>Ravens +10 -125</v>
      </c>
      <c r="E2336" s="11">
        <v>5</v>
      </c>
      <c r="F2336" s="11">
        <v>-1.25</v>
      </c>
      <c r="G2336" s="11" t="s">
        <v>4</v>
      </c>
      <c r="H2336" s="13">
        <v>4000</v>
      </c>
      <c r="I2336" s="14">
        <f t="shared" si="86"/>
        <v>0.12384639999999958</v>
      </c>
      <c r="J2336" s="13">
        <f t="shared" si="87"/>
        <v>211008.34999999992</v>
      </c>
    </row>
    <row r="2337" spans="1:10" x14ac:dyDescent="0.25">
      <c r="A2337" s="10">
        <v>41286</v>
      </c>
      <c r="B2337" s="11" t="s">
        <v>2</v>
      </c>
      <c r="C2337" s="11" t="s">
        <v>18</v>
      </c>
      <c r="D2337" s="16" t="str">
        <f>HYPERLINK("https://freddywills.com/pick/2295/ravens-330.html", "Ravens +330")</f>
        <v>Ravens +330</v>
      </c>
      <c r="E2337" s="11">
        <v>0.5</v>
      </c>
      <c r="F2337" s="11">
        <v>3.3</v>
      </c>
      <c r="G2337" s="11" t="s">
        <v>4</v>
      </c>
      <c r="H2337" s="13">
        <v>1650</v>
      </c>
      <c r="I2337" s="14">
        <f t="shared" si="86"/>
        <v>8.3846399999999585E-2</v>
      </c>
      <c r="J2337" s="13">
        <f t="shared" si="87"/>
        <v>207008.34999999992</v>
      </c>
    </row>
    <row r="2338" spans="1:10" x14ac:dyDescent="0.25">
      <c r="A2338" s="10">
        <v>41281</v>
      </c>
      <c r="B2338" s="11" t="s">
        <v>8</v>
      </c>
      <c r="C2338" s="11" t="s">
        <v>10</v>
      </c>
      <c r="D2338" s="16" t="str">
        <f>HYPERLINK("https://freddywills.com/pick/2299/tyler-eifert-o4-rec.html", "Tyler Eifert O4 Rec")</f>
        <v>Tyler Eifert O4 Rec</v>
      </c>
      <c r="E2338" s="11">
        <v>1.1000000000000001</v>
      </c>
      <c r="F2338" s="11">
        <v>-1.1000000000000001</v>
      </c>
      <c r="G2338" s="11" t="s">
        <v>4</v>
      </c>
      <c r="H2338" s="13">
        <v>1000</v>
      </c>
      <c r="I2338" s="14">
        <f t="shared" si="86"/>
        <v>6.7346399999999584E-2</v>
      </c>
      <c r="J2338" s="13">
        <f t="shared" si="87"/>
        <v>205358.34999999992</v>
      </c>
    </row>
    <row r="2339" spans="1:10" x14ac:dyDescent="0.25">
      <c r="A2339" s="10">
        <v>41281</v>
      </c>
      <c r="B2339" s="11" t="s">
        <v>8</v>
      </c>
      <c r="C2339" s="11" t="s">
        <v>10</v>
      </c>
      <c r="D2339" s="16" t="str">
        <f>HYPERLINK("https://freddywills.com/pick/2300/aj-mccarron-u17-comp.html", "AJ McCarron U17 Comp")</f>
        <v>AJ McCarron U17 Comp</v>
      </c>
      <c r="E2339" s="11">
        <v>1.1000000000000001</v>
      </c>
      <c r="F2339" s="11">
        <v>-1.1000000000000001</v>
      </c>
      <c r="G2339" s="11" t="s">
        <v>6</v>
      </c>
      <c r="H2339" s="13">
        <v>-1100</v>
      </c>
      <c r="I2339" s="14">
        <f t="shared" si="86"/>
        <v>5.7346399999999589E-2</v>
      </c>
      <c r="J2339" s="13">
        <f t="shared" si="87"/>
        <v>204358.34999999992</v>
      </c>
    </row>
    <row r="2340" spans="1:10" x14ac:dyDescent="0.25">
      <c r="A2340" s="10">
        <v>41280</v>
      </c>
      <c r="B2340" s="11" t="s">
        <v>2</v>
      </c>
      <c r="C2340" s="11" t="s">
        <v>5</v>
      </c>
      <c r="D2340" s="16" t="str">
        <f>HYPERLINK("https://freddywills.com/pick/2301/colts-7-5.html", "Colts +7.5")</f>
        <v>Colts +7.5</v>
      </c>
      <c r="E2340" s="11">
        <v>2.2000000000000002</v>
      </c>
      <c r="F2340" s="11">
        <v>-1.1000000000000001</v>
      </c>
      <c r="G2340" s="11" t="s">
        <v>6</v>
      </c>
      <c r="H2340" s="13">
        <v>-2200</v>
      </c>
      <c r="I2340" s="14">
        <f t="shared" si="86"/>
        <v>6.8346399999999585E-2</v>
      </c>
      <c r="J2340" s="13">
        <f t="shared" si="87"/>
        <v>205458.34999999992</v>
      </c>
    </row>
    <row r="2341" spans="1:10" x14ac:dyDescent="0.25">
      <c r="A2341" s="10">
        <v>41280</v>
      </c>
      <c r="B2341" s="11" t="s">
        <v>2</v>
      </c>
      <c r="C2341" s="11" t="s">
        <v>5</v>
      </c>
      <c r="D2341" s="16" t="str">
        <f>HYPERLINK("https://freddywills.com/pick/2302/seahawks-2-5-115.html", "Seahawks -2.5 -115")</f>
        <v>Seahawks -2.5 -115</v>
      </c>
      <c r="E2341" s="11">
        <v>4.5</v>
      </c>
      <c r="F2341" s="11">
        <v>-1.1000000000000001</v>
      </c>
      <c r="G2341" s="11" t="s">
        <v>4</v>
      </c>
      <c r="H2341" s="13">
        <v>4090.91</v>
      </c>
      <c r="I2341" s="14">
        <f t="shared" si="86"/>
        <v>9.0346399999999591E-2</v>
      </c>
      <c r="J2341" s="13">
        <f t="shared" si="87"/>
        <v>207658.34999999992</v>
      </c>
    </row>
    <row r="2342" spans="1:10" x14ac:dyDescent="0.25">
      <c r="A2342" s="10">
        <v>41280</v>
      </c>
      <c r="B2342" s="11" t="s">
        <v>8</v>
      </c>
      <c r="C2342" s="11" t="s">
        <v>5</v>
      </c>
      <c r="D2342" s="16" t="str">
        <f>HYPERLINK("https://freddywills.com/pick/2303/ark-st-3-100.html", "Ark St -3 +100")</f>
        <v>Ark St -3 +100</v>
      </c>
      <c r="E2342" s="11">
        <v>4</v>
      </c>
      <c r="F2342" s="11">
        <v>-1.1000000000000001</v>
      </c>
      <c r="G2342" s="11" t="s">
        <v>4</v>
      </c>
      <c r="H2342" s="13">
        <v>3636.36</v>
      </c>
      <c r="I2342" s="14">
        <f t="shared" si="86"/>
        <v>4.9437299999999594E-2</v>
      </c>
      <c r="J2342" s="13">
        <f t="shared" si="87"/>
        <v>203567.43999999992</v>
      </c>
    </row>
    <row r="2343" spans="1:10" x14ac:dyDescent="0.25">
      <c r="A2343" s="10">
        <v>41279</v>
      </c>
      <c r="B2343" s="11" t="s">
        <v>8</v>
      </c>
      <c r="C2343" s="11" t="s">
        <v>5</v>
      </c>
      <c r="D2343" s="16" t="str">
        <f>HYPERLINK("https://freddywills.com/pick/2305/pittsburgh-3-5.html", "Pittsburgh +3.5")</f>
        <v>Pittsburgh +3.5</v>
      </c>
      <c r="E2343" s="11">
        <v>4.4000000000000004</v>
      </c>
      <c r="F2343" s="11">
        <v>-1.1000000000000001</v>
      </c>
      <c r="G2343" s="11" t="s">
        <v>6</v>
      </c>
      <c r="H2343" s="13">
        <v>-4400</v>
      </c>
      <c r="I2343" s="14">
        <f t="shared" si="86"/>
        <v>1.3073699999999591E-2</v>
      </c>
      <c r="J2343" s="13">
        <f t="shared" si="87"/>
        <v>199931.07999999993</v>
      </c>
    </row>
    <row r="2344" spans="1:10" x14ac:dyDescent="0.25">
      <c r="A2344" s="10">
        <v>41279</v>
      </c>
      <c r="B2344" s="11" t="s">
        <v>2</v>
      </c>
      <c r="C2344" s="11" t="s">
        <v>5</v>
      </c>
      <c r="D2344" s="16" t="str">
        <f>HYPERLINK("https://freddywills.com/pick/2306/bengals-4-5.html", "Bengals +4.5")</f>
        <v>Bengals +4.5</v>
      </c>
      <c r="E2344" s="11">
        <v>4.4000000000000004</v>
      </c>
      <c r="F2344" s="11">
        <v>-1.1000000000000001</v>
      </c>
      <c r="G2344" s="11" t="s">
        <v>6</v>
      </c>
      <c r="H2344" s="13">
        <v>-4400</v>
      </c>
      <c r="I2344" s="14">
        <f t="shared" si="86"/>
        <v>5.7073699999999589E-2</v>
      </c>
      <c r="J2344" s="13">
        <f t="shared" si="87"/>
        <v>204331.07999999993</v>
      </c>
    </row>
    <row r="2345" spans="1:10" x14ac:dyDescent="0.25">
      <c r="A2345" s="10">
        <v>41279</v>
      </c>
      <c r="B2345" s="11" t="s">
        <v>2</v>
      </c>
      <c r="C2345" s="11" t="s">
        <v>5</v>
      </c>
      <c r="D2345" s="16" t="str">
        <f>HYPERLINK("https://freddywills.com/pick/2307/packers-7-130.html", "Packers -7 -130")</f>
        <v>Packers -7 -130</v>
      </c>
      <c r="E2345" s="11">
        <v>3.5</v>
      </c>
      <c r="F2345" s="11">
        <v>-1.1000000000000001</v>
      </c>
      <c r="G2345" s="11" t="s">
        <v>4</v>
      </c>
      <c r="H2345" s="13">
        <v>3181.82</v>
      </c>
      <c r="I2345" s="14">
        <f t="shared" si="86"/>
        <v>0.10107369999999959</v>
      </c>
      <c r="J2345" s="13">
        <f t="shared" si="87"/>
        <v>208731.07999999993</v>
      </c>
    </row>
    <row r="2346" spans="1:10" x14ac:dyDescent="0.25">
      <c r="A2346" s="10">
        <v>41278</v>
      </c>
      <c r="B2346" s="11" t="s">
        <v>8</v>
      </c>
      <c r="C2346" s="11" t="s">
        <v>5</v>
      </c>
      <c r="D2346" s="16" t="str">
        <f>HYPERLINK("https://freddywills.com/pick/2308/tx-a-amp-m-3-115.html", "TX A&amp;amp;M -3 -115")</f>
        <v>TX A&amp;amp;M -3 -115</v>
      </c>
      <c r="E2346" s="11">
        <v>5.5</v>
      </c>
      <c r="F2346" s="11">
        <v>-1.1499999999999999</v>
      </c>
      <c r="G2346" s="11" t="s">
        <v>4</v>
      </c>
      <c r="H2346" s="13">
        <v>4782.6099999999997</v>
      </c>
      <c r="I2346" s="14">
        <f t="shared" si="86"/>
        <v>6.9255499999999581E-2</v>
      </c>
      <c r="J2346" s="13">
        <f t="shared" si="87"/>
        <v>205549.25999999992</v>
      </c>
    </row>
    <row r="2347" spans="1:10" x14ac:dyDescent="0.25">
      <c r="A2347" s="10">
        <v>41277</v>
      </c>
      <c r="B2347" s="11" t="s">
        <v>8</v>
      </c>
      <c r="C2347" s="11" t="s">
        <v>5</v>
      </c>
      <c r="D2347" s="16" t="str">
        <f>HYPERLINK("https://freddywills.com/pick/2310/kansas-state-8-5.html", "Kansas State +8.5")</f>
        <v>Kansas State +8.5</v>
      </c>
      <c r="E2347" s="11">
        <v>5.5</v>
      </c>
      <c r="F2347" s="11">
        <v>-1.1000000000000001</v>
      </c>
      <c r="G2347" s="11" t="s">
        <v>6</v>
      </c>
      <c r="H2347" s="13">
        <v>-5500</v>
      </c>
      <c r="I2347" s="14">
        <f t="shared" si="86"/>
        <v>2.1429399999999592E-2</v>
      </c>
      <c r="J2347" s="13">
        <f t="shared" si="87"/>
        <v>200766.64999999994</v>
      </c>
    </row>
    <row r="2348" spans="1:10" x14ac:dyDescent="0.25">
      <c r="A2348" s="10">
        <v>41276</v>
      </c>
      <c r="B2348" s="11" t="s">
        <v>8</v>
      </c>
      <c r="C2348" s="11" t="s">
        <v>7</v>
      </c>
      <c r="D2348" s="16" t="str">
        <f>HYPERLINK("https://freddywills.com/pick/2311/flordia-louisville-u48.html", "flordia louisville u48")</f>
        <v>flordia louisville u48</v>
      </c>
      <c r="E2348" s="11">
        <v>3.3</v>
      </c>
      <c r="F2348" s="11">
        <v>-1.1000000000000001</v>
      </c>
      <c r="G2348" s="11" t="s">
        <v>6</v>
      </c>
      <c r="H2348" s="13">
        <v>-3300</v>
      </c>
      <c r="I2348" s="14">
        <f t="shared" si="86"/>
        <v>7.6429399999999592E-2</v>
      </c>
      <c r="J2348" s="13">
        <f t="shared" si="87"/>
        <v>206266.64999999994</v>
      </c>
    </row>
    <row r="2349" spans="1:10" x14ac:dyDescent="0.25">
      <c r="A2349" s="10">
        <v>41276</v>
      </c>
      <c r="B2349" s="11" t="s">
        <v>8</v>
      </c>
      <c r="C2349" s="11" t="s">
        <v>5</v>
      </c>
      <c r="D2349" s="16" t="str">
        <f>HYPERLINK("https://freddywills.com/pick/2312/louisville-14-5.html", "louisville +14.5")</f>
        <v>louisville +14.5</v>
      </c>
      <c r="E2349" s="11">
        <v>2.2000000000000002</v>
      </c>
      <c r="F2349" s="11">
        <v>-1.1000000000000001</v>
      </c>
      <c r="G2349" s="11" t="s">
        <v>4</v>
      </c>
      <c r="H2349" s="13">
        <v>2000</v>
      </c>
      <c r="I2349" s="14">
        <f t="shared" si="86"/>
        <v>0.10942939999999959</v>
      </c>
      <c r="J2349" s="13">
        <f t="shared" si="87"/>
        <v>209566.64999999994</v>
      </c>
    </row>
    <row r="2350" spans="1:10" x14ac:dyDescent="0.25">
      <c r="A2350" s="10">
        <v>41275</v>
      </c>
      <c r="B2350" s="11" t="s">
        <v>8</v>
      </c>
      <c r="C2350" s="11" t="s">
        <v>5</v>
      </c>
      <c r="D2350" s="16" t="str">
        <f>HYPERLINK("https://freddywills.com/pick/2313/oregon-7-5.html", "Oregon -7.5")</f>
        <v>Oregon -7.5</v>
      </c>
      <c r="E2350" s="11">
        <v>4.4000000000000004</v>
      </c>
      <c r="F2350" s="11">
        <v>-1.1000000000000001</v>
      </c>
      <c r="G2350" s="11" t="s">
        <v>4</v>
      </c>
      <c r="H2350" s="13">
        <v>4000</v>
      </c>
      <c r="I2350" s="14">
        <f t="shared" si="86"/>
        <v>8.942939999999959E-2</v>
      </c>
      <c r="J2350" s="13">
        <f t="shared" si="87"/>
        <v>207566.64999999994</v>
      </c>
    </row>
    <row r="2351" spans="1:10" x14ac:dyDescent="0.25">
      <c r="A2351" s="10">
        <v>41275</v>
      </c>
      <c r="B2351" s="11" t="s">
        <v>8</v>
      </c>
      <c r="C2351" s="11" t="s">
        <v>5</v>
      </c>
      <c r="D2351" s="16" t="str">
        <f>HYPERLINK("https://freddywills.com/pick/2314/g-tech-7-5.html", "G Tech +7.5")</f>
        <v>G Tech +7.5</v>
      </c>
      <c r="E2351" s="11">
        <v>3.3</v>
      </c>
      <c r="F2351" s="11">
        <v>-1.1000000000000001</v>
      </c>
      <c r="G2351" s="11" t="s">
        <v>4</v>
      </c>
      <c r="H2351" s="13">
        <v>3000</v>
      </c>
      <c r="I2351" s="14">
        <f t="shared" si="86"/>
        <v>4.9429399999999589E-2</v>
      </c>
      <c r="J2351" s="13">
        <f t="shared" si="87"/>
        <v>203566.64999999994</v>
      </c>
    </row>
    <row r="2352" spans="1:10" x14ac:dyDescent="0.25">
      <c r="A2352" s="10">
        <v>41275</v>
      </c>
      <c r="B2352" s="11" t="s">
        <v>8</v>
      </c>
      <c r="C2352" s="11" t="s">
        <v>10</v>
      </c>
      <c r="D2352" s="16" t="str">
        <f>HYPERLINK("https://freddywills.com/pick/2315/lsu-pk-georgia-2-5.html", "LSU pk/Georgia -2.5")</f>
        <v>LSU pk/Georgia -2.5</v>
      </c>
      <c r="E2352" s="11">
        <v>3.3</v>
      </c>
      <c r="F2352" s="11">
        <v>-1.1000000000000001</v>
      </c>
      <c r="G2352" s="11" t="s">
        <v>6</v>
      </c>
      <c r="H2352" s="13">
        <v>-3300</v>
      </c>
      <c r="I2352" s="14">
        <f t="shared" si="86"/>
        <v>1.942939999999959E-2</v>
      </c>
      <c r="J2352" s="13">
        <f t="shared" si="87"/>
        <v>200566.64999999994</v>
      </c>
    </row>
    <row r="2353" spans="1:10" x14ac:dyDescent="0.25">
      <c r="A2353" s="10">
        <v>41275</v>
      </c>
      <c r="B2353" s="11" t="s">
        <v>8</v>
      </c>
      <c r="C2353" s="11" t="s">
        <v>5</v>
      </c>
      <c r="D2353" s="16" t="str">
        <f>HYPERLINK("https://freddywills.com/pick/2317/iowa-st-1-5.html", "Iowa St -1.5")</f>
        <v>Iowa St -1.5</v>
      </c>
      <c r="E2353" s="11">
        <v>5.5</v>
      </c>
      <c r="F2353" s="11">
        <v>-1.1000000000000001</v>
      </c>
      <c r="G2353" s="11" t="s">
        <v>6</v>
      </c>
      <c r="H2353" s="13">
        <v>-5500</v>
      </c>
      <c r="I2353" s="14">
        <f t="shared" si="86"/>
        <v>5.2429399999999592E-2</v>
      </c>
      <c r="J2353" s="13">
        <f t="shared" si="87"/>
        <v>203866.64999999994</v>
      </c>
    </row>
    <row r="2354" spans="1:10" x14ac:dyDescent="0.25">
      <c r="A2354" s="10">
        <v>41275</v>
      </c>
      <c r="B2354" s="11" t="s">
        <v>8</v>
      </c>
      <c r="C2354" s="11" t="s">
        <v>5</v>
      </c>
      <c r="D2354" s="16" t="str">
        <f>HYPERLINK("https://freddywills.com/pick/2318/lsu-5-5.html", "LSU -5.5")</f>
        <v>LSU -5.5</v>
      </c>
      <c r="E2354" s="11">
        <v>3.3</v>
      </c>
      <c r="F2354" s="11">
        <v>-1.1000000000000001</v>
      </c>
      <c r="G2354" s="11" t="s">
        <v>6</v>
      </c>
      <c r="H2354" s="13">
        <v>-3300</v>
      </c>
      <c r="I2354" s="14">
        <f t="shared" si="86"/>
        <v>0.10742939999999959</v>
      </c>
      <c r="J2354" s="13">
        <f t="shared" si="87"/>
        <v>209366.64999999994</v>
      </c>
    </row>
    <row r="2355" spans="1:10" x14ac:dyDescent="0.25">
      <c r="A2355" s="10">
        <v>41275</v>
      </c>
      <c r="B2355" s="11" t="s">
        <v>8</v>
      </c>
      <c r="C2355" s="11" t="s">
        <v>5</v>
      </c>
      <c r="D2355" s="16" t="str">
        <f>HYPERLINK("https://freddywills.com/pick/2319/northwestern-1.html", "Northwestern -1")</f>
        <v>Northwestern -1</v>
      </c>
      <c r="E2355" s="11">
        <v>3.3</v>
      </c>
      <c r="F2355" s="11">
        <v>-1.1000000000000001</v>
      </c>
      <c r="G2355" s="11" t="s">
        <v>4</v>
      </c>
      <c r="H2355" s="13">
        <v>3000</v>
      </c>
      <c r="I2355" s="14">
        <f t="shared" si="86"/>
        <v>0.14042939999999959</v>
      </c>
      <c r="J2355" s="13">
        <f t="shared" si="87"/>
        <v>212666.64999999994</v>
      </c>
    </row>
    <row r="2356" spans="1:10" x14ac:dyDescent="0.25">
      <c r="A2356" s="10">
        <v>41275</v>
      </c>
      <c r="B2356" s="11" t="s">
        <v>8</v>
      </c>
      <c r="C2356" s="11" t="s">
        <v>5</v>
      </c>
      <c r="D2356" s="16" t="str">
        <f>HYPERLINK("https://freddywills.com/pick/2320/georgia-8-5.html", "Georgia -8.5")</f>
        <v>Georgia -8.5</v>
      </c>
      <c r="E2356" s="11">
        <v>3.3</v>
      </c>
      <c r="F2356" s="11">
        <v>-1.1000000000000001</v>
      </c>
      <c r="G2356" s="11" t="s">
        <v>4</v>
      </c>
      <c r="H2356" s="13">
        <v>3000</v>
      </c>
      <c r="I2356" s="14">
        <f t="shared" si="86"/>
        <v>0.11042939999999961</v>
      </c>
      <c r="J2356" s="13">
        <f t="shared" si="87"/>
        <v>209666.64999999994</v>
      </c>
    </row>
    <row r="2357" spans="1:10" x14ac:dyDescent="0.25">
      <c r="A2357" s="10">
        <v>41275</v>
      </c>
      <c r="B2357" s="11" t="s">
        <v>8</v>
      </c>
      <c r="C2357" s="11" t="s">
        <v>5</v>
      </c>
      <c r="D2357" s="16" t="str">
        <f>HYPERLINK("https://freddywills.com/pick/2321/south-carolina-5-5.html", "South Carolina -5.5")</f>
        <v>South Carolina -5.5</v>
      </c>
      <c r="E2357" s="11">
        <v>1.65</v>
      </c>
      <c r="F2357" s="11">
        <v>-1.1000000000000001</v>
      </c>
      <c r="G2357" s="11" t="s">
        <v>6</v>
      </c>
      <c r="H2357" s="13">
        <v>-1650</v>
      </c>
      <c r="I2357" s="14">
        <f t="shared" si="86"/>
        <v>8.042939999999961E-2</v>
      </c>
      <c r="J2357" s="13">
        <f t="shared" si="87"/>
        <v>206666.64999999994</v>
      </c>
    </row>
    <row r="2358" spans="1:10" x14ac:dyDescent="0.25">
      <c r="A2358" s="10">
        <v>41275</v>
      </c>
      <c r="B2358" s="11" t="s">
        <v>8</v>
      </c>
      <c r="C2358" s="11" t="s">
        <v>5</v>
      </c>
      <c r="D2358" s="16" t="str">
        <f>HYPERLINK("https://freddywills.com/pick/2322/wisconsin-7-120.html", "Wisconsin +7 -120")</f>
        <v>Wisconsin +7 -120</v>
      </c>
      <c r="E2358" s="11">
        <v>5.5</v>
      </c>
      <c r="F2358" s="11">
        <v>-1.2</v>
      </c>
      <c r="G2358" s="11" t="s">
        <v>4</v>
      </c>
      <c r="H2358" s="13">
        <v>4583.33</v>
      </c>
      <c r="I2358" s="14">
        <f t="shared" si="86"/>
        <v>9.692939999999961E-2</v>
      </c>
      <c r="J2358" s="13">
        <f t="shared" si="87"/>
        <v>208316.64999999994</v>
      </c>
    </row>
    <row r="2359" spans="1:10" x14ac:dyDescent="0.25">
      <c r="A2359" s="10">
        <v>41273</v>
      </c>
      <c r="B2359" s="11" t="s">
        <v>2</v>
      </c>
      <c r="C2359" s="11" t="s">
        <v>5</v>
      </c>
      <c r="D2359" s="16" t="str">
        <f>HYPERLINK("https://freddywills.com/pick/2323/cowboys-3-5.html", "Cowboys +3.5")</f>
        <v>Cowboys +3.5</v>
      </c>
      <c r="E2359" s="11">
        <v>4.4000000000000004</v>
      </c>
      <c r="F2359" s="11">
        <v>-1.1000000000000001</v>
      </c>
      <c r="G2359" s="11" t="s">
        <v>6</v>
      </c>
      <c r="H2359" s="13">
        <v>-4400</v>
      </c>
      <c r="I2359" s="14">
        <f t="shared" si="86"/>
        <v>5.1096099999999603E-2</v>
      </c>
      <c r="J2359" s="13">
        <f t="shared" si="87"/>
        <v>203733.31999999995</v>
      </c>
    </row>
    <row r="2360" spans="1:10" x14ac:dyDescent="0.25">
      <c r="A2360" s="10">
        <v>41273</v>
      </c>
      <c r="B2360" s="11" t="s">
        <v>2</v>
      </c>
      <c r="C2360" s="11" t="s">
        <v>5</v>
      </c>
      <c r="D2360" s="16" t="str">
        <f>HYPERLINK("https://freddywills.com/pick/2324/lions-3-105.html", "Lions +3 -105")</f>
        <v>Lions +3 -105</v>
      </c>
      <c r="E2360" s="11">
        <v>5.25</v>
      </c>
      <c r="F2360" s="11">
        <v>-1.1000000000000001</v>
      </c>
      <c r="G2360" s="11" t="s">
        <v>4</v>
      </c>
      <c r="H2360" s="13">
        <v>4772.7299999999996</v>
      </c>
      <c r="I2360" s="14">
        <f t="shared" si="86"/>
        <v>9.50960999999996E-2</v>
      </c>
      <c r="J2360" s="13">
        <f t="shared" si="87"/>
        <v>208133.31999999995</v>
      </c>
    </row>
    <row r="2361" spans="1:10" x14ac:dyDescent="0.25">
      <c r="A2361" s="10">
        <v>41273</v>
      </c>
      <c r="B2361" s="11" t="s">
        <v>2</v>
      </c>
      <c r="C2361" s="11" t="s">
        <v>18</v>
      </c>
      <c r="D2361" s="16" t="str">
        <f>HYPERLINK("https://freddywills.com/pick/2325/lions-145.html", "Lions +145")</f>
        <v>Lions +145</v>
      </c>
      <c r="E2361" s="11">
        <v>2</v>
      </c>
      <c r="F2361" s="11">
        <v>1.45</v>
      </c>
      <c r="G2361" s="11" t="s">
        <v>6</v>
      </c>
      <c r="H2361" s="13">
        <v>-2000</v>
      </c>
      <c r="I2361" s="14">
        <f t="shared" si="86"/>
        <v>4.7368799999999614E-2</v>
      </c>
      <c r="J2361" s="13">
        <f t="shared" si="87"/>
        <v>203360.58999999994</v>
      </c>
    </row>
    <row r="2362" spans="1:10" x14ac:dyDescent="0.25">
      <c r="A2362" s="10">
        <v>41273</v>
      </c>
      <c r="B2362" s="11" t="s">
        <v>2</v>
      </c>
      <c r="C2362" s="11" t="s">
        <v>5</v>
      </c>
      <c r="D2362" s="16" t="str">
        <f>HYPERLINK("https://freddywills.com/pick/2326/ravens-3-100.html", "Ravens +3 +100")</f>
        <v>Ravens +3 +100</v>
      </c>
      <c r="E2362" s="11">
        <v>3.5</v>
      </c>
      <c r="F2362" s="11">
        <v>1</v>
      </c>
      <c r="G2362" s="11" t="s">
        <v>6</v>
      </c>
      <c r="H2362" s="13">
        <v>-3500</v>
      </c>
      <c r="I2362" s="14">
        <f t="shared" si="86"/>
        <v>6.7368799999999618E-2</v>
      </c>
      <c r="J2362" s="13">
        <f t="shared" si="87"/>
        <v>205360.58999999994</v>
      </c>
    </row>
    <row r="2363" spans="1:10" x14ac:dyDescent="0.25">
      <c r="A2363" s="10">
        <v>41273</v>
      </c>
      <c r="B2363" s="11" t="s">
        <v>2</v>
      </c>
      <c r="C2363" s="11" t="s">
        <v>5</v>
      </c>
      <c r="D2363" s="16" t="str">
        <f>HYPERLINK("https://freddywills.com/pick/2327/bengals-4.html", "Bengals -4")</f>
        <v>Bengals -4</v>
      </c>
      <c r="E2363" s="11">
        <v>3.3</v>
      </c>
      <c r="F2363" s="11">
        <v>-1.1000000000000001</v>
      </c>
      <c r="G2363" s="11" t="s">
        <v>4</v>
      </c>
      <c r="H2363" s="13">
        <v>3000</v>
      </c>
      <c r="I2363" s="14">
        <f t="shared" si="86"/>
        <v>0.10236879999999962</v>
      </c>
      <c r="J2363" s="13">
        <f t="shared" si="87"/>
        <v>208860.58999999994</v>
      </c>
    </row>
    <row r="2364" spans="1:10" x14ac:dyDescent="0.25">
      <c r="A2364" s="10">
        <v>41273</v>
      </c>
      <c r="B2364" s="11" t="s">
        <v>2</v>
      </c>
      <c r="C2364" s="11" t="s">
        <v>5</v>
      </c>
      <c r="D2364" s="16" t="str">
        <f>HYPERLINK("https://freddywills.com/pick/2328/colts-6.html", "Colts +6")</f>
        <v>Colts +6</v>
      </c>
      <c r="E2364" s="11">
        <v>1.65</v>
      </c>
      <c r="F2364" s="11">
        <v>-1.1000000000000001</v>
      </c>
      <c r="G2364" s="11" t="s">
        <v>4</v>
      </c>
      <c r="H2364" s="13">
        <v>1500</v>
      </c>
      <c r="I2364" s="14">
        <f t="shared" si="86"/>
        <v>7.2368799999999622E-2</v>
      </c>
      <c r="J2364" s="13">
        <f t="shared" si="87"/>
        <v>205860.58999999994</v>
      </c>
    </row>
    <row r="2365" spans="1:10" x14ac:dyDescent="0.25">
      <c r="A2365" s="10">
        <v>41273</v>
      </c>
      <c r="B2365" s="11" t="s">
        <v>2</v>
      </c>
      <c r="C2365" s="11" t="s">
        <v>18</v>
      </c>
      <c r="D2365" s="16" t="str">
        <f>HYPERLINK("https://freddywills.com/pick/2329/colts-205.html", "Colts +205")</f>
        <v>Colts +205</v>
      </c>
      <c r="E2365" s="11">
        <v>1</v>
      </c>
      <c r="F2365" s="11">
        <v>2.0499999999999998</v>
      </c>
      <c r="G2365" s="11" t="s">
        <v>4</v>
      </c>
      <c r="H2365" s="13">
        <v>2050</v>
      </c>
      <c r="I2365" s="14">
        <f t="shared" si="86"/>
        <v>5.7368799999999623E-2</v>
      </c>
      <c r="J2365" s="13">
        <f t="shared" si="87"/>
        <v>204360.58999999994</v>
      </c>
    </row>
    <row r="2366" spans="1:10" x14ac:dyDescent="0.25">
      <c r="A2366" s="10">
        <v>41272</v>
      </c>
      <c r="B2366" s="11" t="s">
        <v>8</v>
      </c>
      <c r="C2366" s="11" t="s">
        <v>5</v>
      </c>
      <c r="D2366" s="16" t="str">
        <f>HYPERLINK("https://freddywills.com/pick/2332/air-force-2.html", "Air Force -2")</f>
        <v>Air Force -2</v>
      </c>
      <c r="E2366" s="11">
        <v>1.1000000000000001</v>
      </c>
      <c r="F2366" s="11">
        <v>-1.1000000000000001</v>
      </c>
      <c r="G2366" s="11" t="s">
        <v>6</v>
      </c>
      <c r="H2366" s="13">
        <v>-1100</v>
      </c>
      <c r="I2366" s="14">
        <f t="shared" si="86"/>
        <v>3.6868799999999619E-2</v>
      </c>
      <c r="J2366" s="13">
        <f t="shared" si="87"/>
        <v>202310.58999999994</v>
      </c>
    </row>
    <row r="2367" spans="1:10" x14ac:dyDescent="0.25">
      <c r="A2367" s="10">
        <v>41272</v>
      </c>
      <c r="B2367" s="11" t="s">
        <v>8</v>
      </c>
      <c r="C2367" s="11" t="s">
        <v>5</v>
      </c>
      <c r="D2367" s="16" t="str">
        <f>HYPERLINK("https://freddywills.com/pick/2333/syracuse-4.html", "Syracuse +4")</f>
        <v>Syracuse +4</v>
      </c>
      <c r="E2367" s="11">
        <v>4.4000000000000004</v>
      </c>
      <c r="F2367" s="11">
        <v>-1.1000000000000001</v>
      </c>
      <c r="G2367" s="11" t="s">
        <v>4</v>
      </c>
      <c r="H2367" s="13">
        <v>4000</v>
      </c>
      <c r="I2367" s="14">
        <f t="shared" si="86"/>
        <v>4.7868799999999614E-2</v>
      </c>
      <c r="J2367" s="13">
        <f t="shared" si="87"/>
        <v>203410.58999999994</v>
      </c>
    </row>
    <row r="2368" spans="1:10" x14ac:dyDescent="0.25">
      <c r="A2368" s="10">
        <v>41272</v>
      </c>
      <c r="B2368" s="11" t="s">
        <v>8</v>
      </c>
      <c r="C2368" s="11" t="s">
        <v>10</v>
      </c>
      <c r="D2368" s="16" t="str">
        <f>HYPERLINK("https://freddywills.com/pick/2334/syracuse-10-5-o65-5.html", "Syracuse +10.5/O65.5")</f>
        <v>Syracuse +10.5/O65.5</v>
      </c>
      <c r="E2368" s="11">
        <v>2.4</v>
      </c>
      <c r="F2368" s="11">
        <v>-1.1000000000000001</v>
      </c>
      <c r="G2368" s="11" t="s">
        <v>6</v>
      </c>
      <c r="H2368" s="13">
        <v>-2400</v>
      </c>
      <c r="I2368" s="14">
        <f t="shared" si="86"/>
        <v>7.8687999999996136E-3</v>
      </c>
      <c r="J2368" s="13">
        <f t="shared" si="87"/>
        <v>199410.58999999994</v>
      </c>
    </row>
    <row r="2369" spans="1:10" x14ac:dyDescent="0.25">
      <c r="A2369" s="10">
        <v>41272</v>
      </c>
      <c r="B2369" s="11" t="s">
        <v>8</v>
      </c>
      <c r="C2369" s="11" t="s">
        <v>5</v>
      </c>
      <c r="D2369" s="16" t="str">
        <f>HYPERLINK("https://freddywills.com/pick/2335/texas-3-5.html", "Texas +3.5")</f>
        <v>Texas +3.5</v>
      </c>
      <c r="E2369" s="11">
        <v>5.5</v>
      </c>
      <c r="F2369" s="11">
        <v>-1.1000000000000001</v>
      </c>
      <c r="G2369" s="11" t="s">
        <v>4</v>
      </c>
      <c r="H2369" s="13">
        <v>5000</v>
      </c>
      <c r="I2369" s="14">
        <f t="shared" si="86"/>
        <v>3.1868799999999614E-2</v>
      </c>
      <c r="J2369" s="13">
        <f t="shared" si="87"/>
        <v>201810.58999999994</v>
      </c>
    </row>
    <row r="2370" spans="1:10" x14ac:dyDescent="0.25">
      <c r="A2370" s="10">
        <v>41272</v>
      </c>
      <c r="B2370" s="11" t="s">
        <v>8</v>
      </c>
      <c r="C2370" s="11" t="s">
        <v>7</v>
      </c>
      <c r="D2370" s="16" t="str">
        <f>HYPERLINK("https://freddywills.com/pick/2336/tcu-mich-st-u40-5.html", "TCU/Mich St U40.5")</f>
        <v>TCU/Mich St U40.5</v>
      </c>
      <c r="E2370" s="11">
        <v>3.3</v>
      </c>
      <c r="F2370" s="11">
        <v>-1.1000000000000001</v>
      </c>
      <c r="G2370" s="11" t="s">
        <v>4</v>
      </c>
      <c r="H2370" s="13">
        <v>3000</v>
      </c>
      <c r="I2370" s="14">
        <f t="shared" si="86"/>
        <v>-1.8131200000000389E-2</v>
      </c>
      <c r="J2370" s="13">
        <f t="shared" si="87"/>
        <v>196810.58999999994</v>
      </c>
    </row>
    <row r="2371" spans="1:10" x14ac:dyDescent="0.25">
      <c r="A2371" s="10">
        <v>41272</v>
      </c>
      <c r="B2371" s="11" t="s">
        <v>8</v>
      </c>
      <c r="C2371" s="11" t="s">
        <v>10</v>
      </c>
      <c r="D2371" s="16" t="str">
        <f>HYPERLINK("https://freddywills.com/pick/2337/mich-st-8-5-u47.html", "Mich St +8.5/U47")</f>
        <v>Mich St +8.5/U47</v>
      </c>
      <c r="E2371" s="11">
        <v>2.2000000000000002</v>
      </c>
      <c r="F2371" s="11">
        <v>-1.1000000000000001</v>
      </c>
      <c r="G2371" s="11" t="s">
        <v>4</v>
      </c>
      <c r="H2371" s="13">
        <v>2000</v>
      </c>
      <c r="I2371" s="14">
        <f t="shared" si="86"/>
        <v>-4.8131200000000388E-2</v>
      </c>
      <c r="J2371" s="13">
        <f t="shared" si="87"/>
        <v>193810.58999999994</v>
      </c>
    </row>
    <row r="2372" spans="1:10" x14ac:dyDescent="0.25">
      <c r="A2372" s="10">
        <v>41271</v>
      </c>
      <c r="B2372" s="11" t="s">
        <v>8</v>
      </c>
      <c r="C2372" s="11" t="s">
        <v>5</v>
      </c>
      <c r="D2372" s="16" t="str">
        <f>HYPERLINK("https://freddywills.com/pick/2338/rutgers-3-120.html", "Rutgers +3 -120")</f>
        <v>Rutgers +3 -120</v>
      </c>
      <c r="E2372" s="11">
        <v>4.2</v>
      </c>
      <c r="F2372" s="11">
        <v>-1.1000000000000001</v>
      </c>
      <c r="G2372" s="11" t="s">
        <v>9</v>
      </c>
      <c r="H2372" s="13">
        <v>0</v>
      </c>
      <c r="I2372" s="14">
        <f t="shared" si="86"/>
        <v>-6.8131200000000391E-2</v>
      </c>
      <c r="J2372" s="13">
        <f t="shared" si="87"/>
        <v>191810.58999999994</v>
      </c>
    </row>
    <row r="2373" spans="1:10" x14ac:dyDescent="0.25">
      <c r="A2373" s="10">
        <v>41271</v>
      </c>
      <c r="B2373" s="11" t="s">
        <v>8</v>
      </c>
      <c r="C2373" s="11" t="s">
        <v>10</v>
      </c>
      <c r="D2373" s="16" t="str">
        <f>HYPERLINK("https://freddywills.com/pick/2339/rutgers-8-5-u48.html", "Rutgers +8.5/U48")</f>
        <v>Rutgers +8.5/U48</v>
      </c>
      <c r="E2373" s="11">
        <v>3.3</v>
      </c>
      <c r="F2373" s="11">
        <v>-1.1000000000000001</v>
      </c>
      <c r="G2373" s="11" t="s">
        <v>4</v>
      </c>
      <c r="H2373" s="13">
        <v>3000</v>
      </c>
      <c r="I2373" s="14">
        <f t="shared" si="86"/>
        <v>-6.8131200000000391E-2</v>
      </c>
      <c r="J2373" s="13">
        <f t="shared" si="87"/>
        <v>191810.58999999994</v>
      </c>
    </row>
    <row r="2374" spans="1:10" x14ac:dyDescent="0.25">
      <c r="A2374" s="10">
        <v>41271</v>
      </c>
      <c r="B2374" s="11" t="s">
        <v>8</v>
      </c>
      <c r="C2374" s="11" t="s">
        <v>5</v>
      </c>
      <c r="D2374" s="16" t="str">
        <f>HYPERLINK("https://freddywills.com/pick/2340/minnesota-13.html", "Minnesota +13")</f>
        <v>Minnesota +13</v>
      </c>
      <c r="E2374" s="11">
        <v>3.3</v>
      </c>
      <c r="F2374" s="11">
        <v>-1.1000000000000001</v>
      </c>
      <c r="G2374" s="11" t="s">
        <v>4</v>
      </c>
      <c r="H2374" s="13">
        <v>3000</v>
      </c>
      <c r="I2374" s="14">
        <f t="shared" si="86"/>
        <v>-9.813120000000039E-2</v>
      </c>
      <c r="J2374" s="13">
        <f t="shared" si="87"/>
        <v>188810.58999999994</v>
      </c>
    </row>
    <row r="2375" spans="1:10" x14ac:dyDescent="0.25">
      <c r="A2375" s="10">
        <v>41271</v>
      </c>
      <c r="B2375" s="11" t="s">
        <v>8</v>
      </c>
      <c r="C2375" s="11" t="s">
        <v>5</v>
      </c>
      <c r="D2375" s="16" t="str">
        <f>HYPERLINK("https://freddywills.com/pick/2341/la-monroe-6-5.html", "LA Monroe -6.5")</f>
        <v>LA Monroe -6.5</v>
      </c>
      <c r="E2375" s="11">
        <v>1.2</v>
      </c>
      <c r="F2375" s="11">
        <v>-1.1000000000000001</v>
      </c>
      <c r="G2375" s="11" t="s">
        <v>6</v>
      </c>
      <c r="H2375" s="13">
        <v>-1200</v>
      </c>
      <c r="I2375" s="14">
        <f t="shared" si="86"/>
        <v>-0.12813120000000039</v>
      </c>
      <c r="J2375" s="13">
        <f t="shared" si="87"/>
        <v>185810.58999999994</v>
      </c>
    </row>
    <row r="2376" spans="1:10" x14ac:dyDescent="0.25">
      <c r="A2376" s="10">
        <v>41270</v>
      </c>
      <c r="B2376" s="11" t="s">
        <v>2</v>
      </c>
      <c r="C2376" s="11" t="s">
        <v>5</v>
      </c>
      <c r="D2376" s="16" t="str">
        <f>HYPERLINK("https://freddywills.com/pick/2343/texans-110.html", "Texans +110")</f>
        <v>Texans +110</v>
      </c>
      <c r="E2376" s="11">
        <v>4</v>
      </c>
      <c r="F2376" s="11">
        <v>1.1000000000000001</v>
      </c>
      <c r="G2376" s="11" t="s">
        <v>4</v>
      </c>
      <c r="H2376" s="13">
        <v>4400</v>
      </c>
      <c r="I2376" s="14">
        <f t="shared" si="86"/>
        <v>-0.11613120000000039</v>
      </c>
      <c r="J2376" s="13">
        <f t="shared" si="87"/>
        <v>187010.58999999994</v>
      </c>
    </row>
    <row r="2377" spans="1:10" x14ac:dyDescent="0.25">
      <c r="A2377" s="10">
        <v>41270</v>
      </c>
      <c r="B2377" s="11" t="s">
        <v>8</v>
      </c>
      <c r="C2377" s="11" t="s">
        <v>5</v>
      </c>
      <c r="D2377" s="16" t="str">
        <f>HYPERLINK("https://freddywills.com/pick/2344/duke-9-5-285-bull-shit.html", "Duke +9.5 / +285 BULL SHIT!")</f>
        <v>Duke +9.5 / +285 BULL SHIT!</v>
      </c>
      <c r="E2377" s="11">
        <v>3.5</v>
      </c>
      <c r="F2377" s="11">
        <v>2.85</v>
      </c>
      <c r="G2377" s="11" t="s">
        <v>6</v>
      </c>
      <c r="H2377" s="13">
        <v>-3500</v>
      </c>
      <c r="I2377" s="14">
        <f t="shared" si="86"/>
        <v>-0.16013120000000039</v>
      </c>
      <c r="J2377" s="13">
        <f t="shared" si="87"/>
        <v>182610.58999999994</v>
      </c>
    </row>
    <row r="2378" spans="1:10" x14ac:dyDescent="0.25">
      <c r="A2378" s="10">
        <v>41270</v>
      </c>
      <c r="B2378" s="11" t="s">
        <v>8</v>
      </c>
      <c r="C2378" s="11" t="s">
        <v>5</v>
      </c>
      <c r="D2378" s="16" t="str">
        <f>HYPERLINK("https://freddywills.com/pick/2345/bowling-green-7-5-bull-shit.html", "Bowling Green +7.5 BULL SHIT!")</f>
        <v>Bowling Green +7.5 BULL SHIT!</v>
      </c>
      <c r="E2378" s="11">
        <v>3.3</v>
      </c>
      <c r="F2378" s="11">
        <v>-1.1000000000000001</v>
      </c>
      <c r="G2378" s="11" t="s">
        <v>6</v>
      </c>
      <c r="H2378" s="13">
        <v>-3300</v>
      </c>
      <c r="I2378" s="14">
        <f t="shared" si="86"/>
        <v>-0.12513120000000039</v>
      </c>
      <c r="J2378" s="13">
        <f t="shared" si="87"/>
        <v>186110.58999999994</v>
      </c>
    </row>
    <row r="2379" spans="1:10" x14ac:dyDescent="0.25">
      <c r="A2379" s="10">
        <v>41270</v>
      </c>
      <c r="B2379" s="11" t="s">
        <v>8</v>
      </c>
      <c r="C2379" s="11" t="s">
        <v>10</v>
      </c>
      <c r="D2379" s="16" t="str">
        <f>HYPERLINK("https://freddywills.com/pick/2346/bowling-green-14-5-u52-130.html", "Bowling Green +14.5/U52 -130")</f>
        <v>Bowling Green +14.5/U52 -130</v>
      </c>
      <c r="E2379" s="11">
        <v>2.6</v>
      </c>
      <c r="F2379" s="11">
        <v>-1.3</v>
      </c>
      <c r="G2379" s="11" t="s">
        <v>4</v>
      </c>
      <c r="H2379" s="13">
        <v>2000</v>
      </c>
      <c r="I2379" s="14">
        <f t="shared" si="86"/>
        <v>-9.2131200000000385E-2</v>
      </c>
      <c r="J2379" s="13">
        <f t="shared" si="87"/>
        <v>189410.58999999994</v>
      </c>
    </row>
    <row r="2380" spans="1:10" x14ac:dyDescent="0.25">
      <c r="A2380" s="10">
        <v>41270</v>
      </c>
      <c r="B2380" s="11" t="s">
        <v>8</v>
      </c>
      <c r="C2380" s="11" t="s">
        <v>5</v>
      </c>
      <c r="D2380" s="16" t="str">
        <f>HYPERLINK("https://freddywills.com/pick/2347/ucla-3.html", "UCLA -3")</f>
        <v>UCLA -3</v>
      </c>
      <c r="E2380" s="11">
        <v>4.4000000000000004</v>
      </c>
      <c r="F2380" s="11">
        <v>-1.1000000000000001</v>
      </c>
      <c r="G2380" s="11" t="s">
        <v>6</v>
      </c>
      <c r="H2380" s="13">
        <v>-4400</v>
      </c>
      <c r="I2380" s="14">
        <f t="shared" si="86"/>
        <v>-0.11213120000000039</v>
      </c>
      <c r="J2380" s="13">
        <f t="shared" si="87"/>
        <v>187410.58999999994</v>
      </c>
    </row>
    <row r="2381" spans="1:10" x14ac:dyDescent="0.25">
      <c r="A2381" s="10">
        <v>41269</v>
      </c>
      <c r="B2381" s="11" t="s">
        <v>8</v>
      </c>
      <c r="C2381" s="11" t="s">
        <v>5</v>
      </c>
      <c r="D2381" s="16" t="str">
        <f>HYPERLINK("https://freddywills.com/pick/2348/cmu-7-120.html", "CMU +7 -120")</f>
        <v>CMU +7 -120</v>
      </c>
      <c r="E2381" s="11">
        <v>4.2</v>
      </c>
      <c r="F2381" s="11">
        <v>-1.2</v>
      </c>
      <c r="G2381" s="11" t="s">
        <v>4</v>
      </c>
      <c r="H2381" s="13">
        <v>3500</v>
      </c>
      <c r="I2381" s="14">
        <f t="shared" si="86"/>
        <v>-6.8131200000000391E-2</v>
      </c>
      <c r="J2381" s="13">
        <f t="shared" si="87"/>
        <v>191810.58999999994</v>
      </c>
    </row>
    <row r="2382" spans="1:10" x14ac:dyDescent="0.25">
      <c r="A2382" s="10">
        <v>41267</v>
      </c>
      <c r="B2382" s="11" t="s">
        <v>8</v>
      </c>
      <c r="C2382" s="11" t="s">
        <v>5</v>
      </c>
      <c r="D2382" s="16" t="str">
        <f>HYPERLINK("https://freddywills.com/pick/2356/smu-13.html", "SMU +13")</f>
        <v>SMU +13</v>
      </c>
      <c r="E2382" s="11">
        <v>3.3</v>
      </c>
      <c r="F2382" s="11">
        <v>-1.1000000000000001</v>
      </c>
      <c r="G2382" s="11" t="s">
        <v>4</v>
      </c>
      <c r="H2382" s="13">
        <v>3000</v>
      </c>
      <c r="I2382" s="14">
        <f t="shared" si="86"/>
        <v>-0.10313120000000039</v>
      </c>
      <c r="J2382" s="13">
        <f t="shared" si="87"/>
        <v>188310.58999999994</v>
      </c>
    </row>
    <row r="2383" spans="1:10" x14ac:dyDescent="0.25">
      <c r="A2383" s="10">
        <v>41266</v>
      </c>
      <c r="B2383" s="11" t="s">
        <v>2</v>
      </c>
      <c r="C2383" s="11" t="s">
        <v>18</v>
      </c>
      <c r="D2383" s="16" t="str">
        <f>HYPERLINK("https://freddywills.com/pick/2357/giants-120.html", "Giants -120")</f>
        <v>Giants -120</v>
      </c>
      <c r="E2383" s="11">
        <v>5.5</v>
      </c>
      <c r="F2383" s="11">
        <v>-1.2</v>
      </c>
      <c r="G2383" s="11" t="s">
        <v>6</v>
      </c>
      <c r="H2383" s="13">
        <v>-5500</v>
      </c>
      <c r="I2383" s="14">
        <f t="shared" ref="I2383:I2446" si="88">(H2383/100000)+I2384</f>
        <v>-0.13313120000000039</v>
      </c>
      <c r="J2383" s="13">
        <f t="shared" ref="J2383:J2446" si="89">H2383+J2384</f>
        <v>185310.58999999994</v>
      </c>
    </row>
    <row r="2384" spans="1:10" x14ac:dyDescent="0.25">
      <c r="A2384" s="10">
        <v>41266</v>
      </c>
      <c r="B2384" s="11" t="s">
        <v>2</v>
      </c>
      <c r="C2384" s="11" t="s">
        <v>10</v>
      </c>
      <c r="D2384" s="16" t="str">
        <f>HYPERLINK("https://freddywills.com/pick/2358/saints-8-5-texans-2.html", "Saints +8.5/ Texans -2")</f>
        <v>Saints +8.5/ Texans -2</v>
      </c>
      <c r="E2384" s="11">
        <v>3.3</v>
      </c>
      <c r="F2384" s="11">
        <v>-1.1000000000000001</v>
      </c>
      <c r="G2384" s="11" t="s">
        <v>6</v>
      </c>
      <c r="H2384" s="13">
        <v>-3300</v>
      </c>
      <c r="I2384" s="14">
        <f t="shared" si="88"/>
        <v>-7.81312000000004E-2</v>
      </c>
      <c r="J2384" s="13">
        <f t="shared" si="89"/>
        <v>190810.58999999994</v>
      </c>
    </row>
    <row r="2385" spans="1:10" x14ac:dyDescent="0.25">
      <c r="A2385" s="10">
        <v>41266</v>
      </c>
      <c r="B2385" s="11" t="s">
        <v>2</v>
      </c>
      <c r="C2385" s="11" t="s">
        <v>5</v>
      </c>
      <c r="D2385" s="16" t="str">
        <f>HYPERLINK("https://freddywills.com/pick/2359/steelers-2-5.html", "Steelers -2.5")</f>
        <v>Steelers -2.5</v>
      </c>
      <c r="E2385" s="11">
        <v>2.5</v>
      </c>
      <c r="F2385" s="11">
        <v>-1.1000000000000001</v>
      </c>
      <c r="G2385" s="11" t="s">
        <v>6</v>
      </c>
      <c r="H2385" s="13">
        <v>-2500</v>
      </c>
      <c r="I2385" s="14">
        <f t="shared" si="88"/>
        <v>-4.5131200000000392E-2</v>
      </c>
      <c r="J2385" s="13">
        <f t="shared" si="89"/>
        <v>194110.58999999994</v>
      </c>
    </row>
    <row r="2386" spans="1:10" x14ac:dyDescent="0.25">
      <c r="A2386" s="10">
        <v>41266</v>
      </c>
      <c r="B2386" s="11" t="s">
        <v>2</v>
      </c>
      <c r="C2386" s="11" t="s">
        <v>5</v>
      </c>
      <c r="D2386" s="16" t="str">
        <f>HYPERLINK("https://freddywills.com/pick/2360/saints-3-120.html", "Saints +3 -120")</f>
        <v>Saints +3 -120</v>
      </c>
      <c r="E2386" s="11">
        <v>4.2</v>
      </c>
      <c r="F2386" s="11">
        <v>-1.1000000000000001</v>
      </c>
      <c r="G2386" s="11" t="s">
        <v>4</v>
      </c>
      <c r="H2386" s="13">
        <v>3818.18</v>
      </c>
      <c r="I2386" s="14">
        <f t="shared" si="88"/>
        <v>-2.013120000000039E-2</v>
      </c>
      <c r="J2386" s="13">
        <f t="shared" si="89"/>
        <v>196610.58999999994</v>
      </c>
    </row>
    <row r="2387" spans="1:10" x14ac:dyDescent="0.25">
      <c r="A2387" s="10">
        <v>41265</v>
      </c>
      <c r="B2387" s="11" t="s">
        <v>8</v>
      </c>
      <c r="C2387" s="11" t="s">
        <v>5</v>
      </c>
      <c r="D2387" s="16" t="str">
        <f>HYPERLINK("https://freddywills.com/pick/2363/washington-5-5.html", "Washington +5.5")</f>
        <v>Washington +5.5</v>
      </c>
      <c r="E2387" s="11">
        <v>4.4000000000000004</v>
      </c>
      <c r="F2387" s="11">
        <v>-1.1000000000000001</v>
      </c>
      <c r="G2387" s="11" t="s">
        <v>4</v>
      </c>
      <c r="H2387" s="13">
        <v>4000</v>
      </c>
      <c r="I2387" s="14">
        <f t="shared" si="88"/>
        <v>-5.8313000000000385E-2</v>
      </c>
      <c r="J2387" s="13">
        <f t="shared" si="89"/>
        <v>192792.40999999995</v>
      </c>
    </row>
    <row r="2388" spans="1:10" x14ac:dyDescent="0.25">
      <c r="A2388" s="10">
        <v>41265</v>
      </c>
      <c r="B2388" s="11" t="s">
        <v>2</v>
      </c>
      <c r="C2388" s="11" t="s">
        <v>5</v>
      </c>
      <c r="D2388" s="16" t="str">
        <f>HYPERLINK("https://freddywills.com/pick/2366/lions-4.html", "Lions +4")</f>
        <v>Lions +4</v>
      </c>
      <c r="E2388" s="11">
        <v>5.5</v>
      </c>
      <c r="F2388" s="11">
        <v>-1.1000000000000001</v>
      </c>
      <c r="G2388" s="11" t="s">
        <v>6</v>
      </c>
      <c r="H2388" s="13">
        <v>-5500</v>
      </c>
      <c r="I2388" s="14">
        <f t="shared" si="88"/>
        <v>-9.8313000000000386E-2</v>
      </c>
      <c r="J2388" s="13">
        <f t="shared" si="89"/>
        <v>188792.40999999995</v>
      </c>
    </row>
    <row r="2389" spans="1:10" x14ac:dyDescent="0.25">
      <c r="A2389" s="10">
        <v>41264</v>
      </c>
      <c r="B2389" s="11" t="s">
        <v>8</v>
      </c>
      <c r="C2389" s="11" t="s">
        <v>5</v>
      </c>
      <c r="D2389" s="16" t="str">
        <f>HYPERLINK("https://freddywills.com/pick/2369/ball-st-7-5-260.html", "Ball St +7.5 / +260")</f>
        <v>Ball St +7.5 / +260</v>
      </c>
      <c r="E2389" s="11">
        <v>5.4</v>
      </c>
      <c r="F2389" s="11">
        <v>2.6</v>
      </c>
      <c r="G2389" s="11" t="s">
        <v>6</v>
      </c>
      <c r="H2389" s="13">
        <v>-5400</v>
      </c>
      <c r="I2389" s="14">
        <f t="shared" si="88"/>
        <v>-4.3313000000000386E-2</v>
      </c>
      <c r="J2389" s="13">
        <f t="shared" si="89"/>
        <v>194292.40999999995</v>
      </c>
    </row>
    <row r="2390" spans="1:10" x14ac:dyDescent="0.25">
      <c r="A2390" s="10">
        <v>41259</v>
      </c>
      <c r="B2390" s="11" t="s">
        <v>2</v>
      </c>
      <c r="C2390" s="11" t="s">
        <v>5</v>
      </c>
      <c r="D2390" s="16" t="str">
        <f>HYPERLINK("https://freddywills.com/pick/2373/texans-10.html", "Texans -10")</f>
        <v>Texans -10</v>
      </c>
      <c r="E2390" s="11">
        <v>1.1000000000000001</v>
      </c>
      <c r="F2390" s="11">
        <v>-1.1000000000000001</v>
      </c>
      <c r="G2390" s="11" t="s">
        <v>4</v>
      </c>
      <c r="H2390" s="13">
        <v>1000</v>
      </c>
      <c r="I2390" s="14">
        <f t="shared" si="88"/>
        <v>1.0686999999999612E-2</v>
      </c>
      <c r="J2390" s="13">
        <f t="shared" si="89"/>
        <v>199692.40999999995</v>
      </c>
    </row>
    <row r="2391" spans="1:10" x14ac:dyDescent="0.25">
      <c r="A2391" s="10">
        <v>41259</v>
      </c>
      <c r="B2391" s="11" t="s">
        <v>2</v>
      </c>
      <c r="C2391" s="11" t="s">
        <v>5</v>
      </c>
      <c r="D2391" s="16" t="str">
        <f>HYPERLINK("https://freddywills.com/pick/2374/giants-1.html", "Giants +1")</f>
        <v>Giants +1</v>
      </c>
      <c r="E2391" s="11">
        <v>5.5</v>
      </c>
      <c r="F2391" s="11">
        <v>-1.1000000000000001</v>
      </c>
      <c r="G2391" s="11" t="s">
        <v>6</v>
      </c>
      <c r="H2391" s="13">
        <v>-5500</v>
      </c>
      <c r="I2391" s="14">
        <f t="shared" si="88"/>
        <v>6.8699999999961153E-4</v>
      </c>
      <c r="J2391" s="13">
        <f t="shared" si="89"/>
        <v>198692.40999999995</v>
      </c>
    </row>
    <row r="2392" spans="1:10" x14ac:dyDescent="0.25">
      <c r="A2392" s="10">
        <v>41259</v>
      </c>
      <c r="B2392" s="11" t="s">
        <v>2</v>
      </c>
      <c r="C2392" s="11" t="s">
        <v>5</v>
      </c>
      <c r="D2392" s="16" t="str">
        <f>HYPERLINK("https://freddywills.com/pick/2375/rams-2-5.html", "Rams -2.5")</f>
        <v>Rams -2.5</v>
      </c>
      <c r="E2392" s="11">
        <v>3.3</v>
      </c>
      <c r="F2392" s="11">
        <v>-1.1000000000000001</v>
      </c>
      <c r="G2392" s="11" t="s">
        <v>6</v>
      </c>
      <c r="H2392" s="13">
        <v>-3300</v>
      </c>
      <c r="I2392" s="14">
        <f t="shared" si="88"/>
        <v>5.5686999999999612E-2</v>
      </c>
      <c r="J2392" s="13">
        <f t="shared" si="89"/>
        <v>204192.40999999995</v>
      </c>
    </row>
    <row r="2393" spans="1:10" x14ac:dyDescent="0.25">
      <c r="A2393" s="10">
        <v>41259</v>
      </c>
      <c r="B2393" s="11" t="s">
        <v>2</v>
      </c>
      <c r="C2393" s="11" t="s">
        <v>5</v>
      </c>
      <c r="D2393" s="16" t="str">
        <f>HYPERLINK("https://freddywills.com/pick/2376/bears-3-120.html", "Bears +3 -120")</f>
        <v>Bears +3 -120</v>
      </c>
      <c r="E2393" s="11">
        <v>4.8</v>
      </c>
      <c r="F2393" s="11">
        <v>-1.2</v>
      </c>
      <c r="G2393" s="11" t="s">
        <v>6</v>
      </c>
      <c r="H2393" s="13">
        <v>-4800</v>
      </c>
      <c r="I2393" s="14">
        <f t="shared" si="88"/>
        <v>8.8686999999999613E-2</v>
      </c>
      <c r="J2393" s="13">
        <f t="shared" si="89"/>
        <v>207492.40999999995</v>
      </c>
    </row>
    <row r="2394" spans="1:10" x14ac:dyDescent="0.25">
      <c r="A2394" s="10">
        <v>41258</v>
      </c>
      <c r="B2394" s="11" t="s">
        <v>8</v>
      </c>
      <c r="C2394" s="11" t="s">
        <v>5</v>
      </c>
      <c r="D2394" s="16" t="str">
        <f>HYPERLINK("https://freddywills.com/pick/2377/toledo-10-5.html", "Toledo +10.5")</f>
        <v>Toledo +10.5</v>
      </c>
      <c r="E2394" s="11">
        <v>4.4000000000000004</v>
      </c>
      <c r="F2394" s="11">
        <v>-1.1000000000000001</v>
      </c>
      <c r="G2394" s="11" t="s">
        <v>6</v>
      </c>
      <c r="H2394" s="13">
        <v>-4400</v>
      </c>
      <c r="I2394" s="14">
        <f t="shared" si="88"/>
        <v>0.13668699999999961</v>
      </c>
      <c r="J2394" s="13">
        <f t="shared" si="89"/>
        <v>212292.40999999995</v>
      </c>
    </row>
    <row r="2395" spans="1:10" x14ac:dyDescent="0.25">
      <c r="A2395" s="10">
        <v>41256</v>
      </c>
      <c r="B2395" s="11" t="s">
        <v>2</v>
      </c>
      <c r="C2395" s="11" t="s">
        <v>5</v>
      </c>
      <c r="D2395" s="16" t="str">
        <f>HYPERLINK("https://freddywills.com/pick/2379/eagles-4-5.html", "Eagles +4.5")</f>
        <v>Eagles +4.5</v>
      </c>
      <c r="E2395" s="11">
        <v>4.4000000000000004</v>
      </c>
      <c r="F2395" s="11">
        <v>-1.1000000000000001</v>
      </c>
      <c r="G2395" s="11" t="s">
        <v>6</v>
      </c>
      <c r="H2395" s="13">
        <v>-4400</v>
      </c>
      <c r="I2395" s="14">
        <f t="shared" si="88"/>
        <v>0.1806869999999996</v>
      </c>
      <c r="J2395" s="13">
        <f t="shared" si="89"/>
        <v>216692.40999999995</v>
      </c>
    </row>
    <row r="2396" spans="1:10" x14ac:dyDescent="0.25">
      <c r="A2396" s="10">
        <v>41253</v>
      </c>
      <c r="B2396" s="11" t="s">
        <v>2</v>
      </c>
      <c r="C2396" s="11" t="s">
        <v>5</v>
      </c>
      <c r="D2396" s="16" t="str">
        <f>HYPERLINK("https://freddywills.com/pick/2386/texans-6.html", "Texans +6")</f>
        <v>Texans +6</v>
      </c>
      <c r="E2396" s="11">
        <v>4.4000000000000004</v>
      </c>
      <c r="F2396" s="11">
        <v>-1.1000000000000001</v>
      </c>
      <c r="G2396" s="11" t="s">
        <v>6</v>
      </c>
      <c r="H2396" s="13">
        <v>-4400</v>
      </c>
      <c r="I2396" s="14">
        <f t="shared" si="88"/>
        <v>0.22468699999999958</v>
      </c>
      <c r="J2396" s="13">
        <f t="shared" si="89"/>
        <v>221092.40999999995</v>
      </c>
    </row>
    <row r="2397" spans="1:10" x14ac:dyDescent="0.25">
      <c r="A2397" s="10">
        <v>41252</v>
      </c>
      <c r="B2397" s="11" t="s">
        <v>2</v>
      </c>
      <c r="C2397" s="11" t="s">
        <v>5</v>
      </c>
      <c r="D2397" s="16" t="str">
        <f>HYPERLINK("https://freddywills.com/pick/2388/redskins-2-5.html", "Redskins -2.5")</f>
        <v>Redskins -2.5</v>
      </c>
      <c r="E2397" s="11">
        <v>3.3</v>
      </c>
      <c r="F2397" s="11">
        <v>-1.1000000000000001</v>
      </c>
      <c r="G2397" s="11" t="s">
        <v>4</v>
      </c>
      <c r="H2397" s="13">
        <v>3000</v>
      </c>
      <c r="I2397" s="14">
        <f t="shared" si="88"/>
        <v>0.26868699999999957</v>
      </c>
      <c r="J2397" s="13">
        <f t="shared" si="89"/>
        <v>225492.40999999995</v>
      </c>
    </row>
    <row r="2398" spans="1:10" x14ac:dyDescent="0.25">
      <c r="A2398" s="10">
        <v>41252</v>
      </c>
      <c r="B2398" s="11" t="s">
        <v>2</v>
      </c>
      <c r="C2398" s="11" t="s">
        <v>5</v>
      </c>
      <c r="D2398" s="16" t="str">
        <f>HYPERLINK("https://freddywills.com/pick/2389/vikings-3-120.html", "Vikings +3 -120")</f>
        <v>Vikings +3 -120</v>
      </c>
      <c r="E2398" s="11">
        <v>4.2</v>
      </c>
      <c r="F2398" s="11">
        <v>-1.2</v>
      </c>
      <c r="G2398" s="11" t="s">
        <v>4</v>
      </c>
      <c r="H2398" s="13">
        <v>3500</v>
      </c>
      <c r="I2398" s="14">
        <f t="shared" si="88"/>
        <v>0.23868699999999957</v>
      </c>
      <c r="J2398" s="13">
        <f t="shared" si="89"/>
        <v>222492.40999999995</v>
      </c>
    </row>
    <row r="2399" spans="1:10" x14ac:dyDescent="0.25">
      <c r="A2399" s="10">
        <v>41252</v>
      </c>
      <c r="B2399" s="11" t="s">
        <v>2</v>
      </c>
      <c r="C2399" s="11" t="s">
        <v>5</v>
      </c>
      <c r="D2399" s="16" t="str">
        <f>HYPERLINK("https://freddywills.com/pick/2390/chargers-8-5.html", "Chargers +8.5")</f>
        <v>Chargers +8.5</v>
      </c>
      <c r="E2399" s="11">
        <v>1.1000000000000001</v>
      </c>
      <c r="F2399" s="11">
        <v>-1.1000000000000001</v>
      </c>
      <c r="G2399" s="11" t="s">
        <v>4</v>
      </c>
      <c r="H2399" s="13">
        <v>1000</v>
      </c>
      <c r="I2399" s="14">
        <f t="shared" si="88"/>
        <v>0.20368699999999956</v>
      </c>
      <c r="J2399" s="13">
        <f t="shared" si="89"/>
        <v>218992.40999999995</v>
      </c>
    </row>
    <row r="2400" spans="1:10" x14ac:dyDescent="0.25">
      <c r="A2400" s="10">
        <v>41252</v>
      </c>
      <c r="B2400" s="11" t="s">
        <v>2</v>
      </c>
      <c r="C2400" s="11" t="s">
        <v>10</v>
      </c>
      <c r="D2400" s="16" t="str">
        <f>HYPERLINK("https://freddywills.com/pick/2391/chargers-14-5-browns-1-titans-10-5-160.html", "Chargers +14.5 / Browns -1 / Titans +10.5 +160")</f>
        <v>Chargers +14.5 / Browns -1 / Titans +10.5 +160</v>
      </c>
      <c r="E2400" s="11">
        <v>2.5</v>
      </c>
      <c r="F2400" s="11">
        <v>1.6</v>
      </c>
      <c r="G2400" s="11" t="s">
        <v>4</v>
      </c>
      <c r="H2400" s="13">
        <v>4000</v>
      </c>
      <c r="I2400" s="14">
        <f t="shared" si="88"/>
        <v>0.19368699999999955</v>
      </c>
      <c r="J2400" s="13">
        <f t="shared" si="89"/>
        <v>217992.40999999995</v>
      </c>
    </row>
    <row r="2401" spans="1:10" x14ac:dyDescent="0.25">
      <c r="A2401" s="10">
        <v>41252</v>
      </c>
      <c r="B2401" s="11" t="s">
        <v>2</v>
      </c>
      <c r="C2401" s="11" t="s">
        <v>5</v>
      </c>
      <c r="D2401" s="16" t="str">
        <f>HYPERLINK("https://freddywills.com/pick/2392/saints-5-195.html", "Saints +5 / +195")</f>
        <v>Saints +5 / +195</v>
      </c>
      <c r="E2401" s="11">
        <v>6.5</v>
      </c>
      <c r="F2401" s="11">
        <v>1.95</v>
      </c>
      <c r="G2401" s="11" t="s">
        <v>6</v>
      </c>
      <c r="H2401" s="13">
        <v>-6500</v>
      </c>
      <c r="I2401" s="14">
        <f t="shared" si="88"/>
        <v>0.15368699999999955</v>
      </c>
      <c r="J2401" s="13">
        <f t="shared" si="89"/>
        <v>213992.40999999995</v>
      </c>
    </row>
    <row r="2402" spans="1:10" x14ac:dyDescent="0.25">
      <c r="A2402" s="10">
        <v>41251</v>
      </c>
      <c r="B2402" s="11" t="s">
        <v>8</v>
      </c>
      <c r="C2402" s="11" t="s">
        <v>5</v>
      </c>
      <c r="D2402" s="16" t="str">
        <f>HYPERLINK("https://freddywills.com/pick/2393/army-7-5-120-235.html", "Army +7.5 -120 / +235")</f>
        <v>Army +7.5 -120 / +235</v>
      </c>
      <c r="E2402" s="11">
        <v>6</v>
      </c>
      <c r="F2402" s="11">
        <v>-1.1000000000000001</v>
      </c>
      <c r="G2402" s="11" t="s">
        <v>4</v>
      </c>
      <c r="H2402" s="13">
        <v>5454.55</v>
      </c>
      <c r="I2402" s="14">
        <f t="shared" si="88"/>
        <v>0.21868699999999955</v>
      </c>
      <c r="J2402" s="13">
        <f t="shared" si="89"/>
        <v>220492.40999999995</v>
      </c>
    </row>
    <row r="2403" spans="1:10" x14ac:dyDescent="0.25">
      <c r="A2403" s="10">
        <v>41249</v>
      </c>
      <c r="B2403" s="11" t="s">
        <v>2</v>
      </c>
      <c r="C2403" s="11" t="s">
        <v>5</v>
      </c>
      <c r="D2403" s="16" t="str">
        <f>HYPERLINK("https://freddywills.com/pick/2398/raiders-10-5.html", "Raiders +10.5")</f>
        <v>Raiders +10.5</v>
      </c>
      <c r="E2403" s="11">
        <v>4.4000000000000004</v>
      </c>
      <c r="F2403" s="11">
        <v>-1.1000000000000001</v>
      </c>
      <c r="G2403" s="11" t="s">
        <v>6</v>
      </c>
      <c r="H2403" s="13">
        <v>-4400</v>
      </c>
      <c r="I2403" s="14">
        <f t="shared" si="88"/>
        <v>0.16414149999999955</v>
      </c>
      <c r="J2403" s="13">
        <f t="shared" si="89"/>
        <v>215037.85999999996</v>
      </c>
    </row>
    <row r="2404" spans="1:10" x14ac:dyDescent="0.25">
      <c r="A2404" s="10">
        <v>41246</v>
      </c>
      <c r="B2404" s="11" t="s">
        <v>2</v>
      </c>
      <c r="C2404" s="11" t="s">
        <v>5</v>
      </c>
      <c r="D2404" s="16" t="str">
        <f>HYPERLINK("https://freddywills.com/pick/2400/redskins-3.html", "Redskins +3")</f>
        <v>Redskins +3</v>
      </c>
      <c r="E2404" s="11">
        <v>4.4000000000000004</v>
      </c>
      <c r="F2404" s="11">
        <v>-1.1000000000000001</v>
      </c>
      <c r="G2404" s="11" t="s">
        <v>4</v>
      </c>
      <c r="H2404" s="13">
        <v>4000</v>
      </c>
      <c r="I2404" s="14">
        <f t="shared" si="88"/>
        <v>0.20814149999999956</v>
      </c>
      <c r="J2404" s="13">
        <f t="shared" si="89"/>
        <v>219437.85999999996</v>
      </c>
    </row>
    <row r="2405" spans="1:10" x14ac:dyDescent="0.25">
      <c r="A2405" s="10">
        <v>41245</v>
      </c>
      <c r="B2405" s="11" t="s">
        <v>2</v>
      </c>
      <c r="C2405" s="11" t="s">
        <v>5</v>
      </c>
      <c r="D2405" s="16" t="str">
        <f>HYPERLINK("https://freddywills.com/pick/2403/chargers-2.html", "Chargers +2")</f>
        <v>Chargers +2</v>
      </c>
      <c r="E2405" s="11">
        <v>5.5</v>
      </c>
      <c r="F2405" s="11">
        <v>-1.1000000000000001</v>
      </c>
      <c r="G2405" s="11" t="s">
        <v>6</v>
      </c>
      <c r="H2405" s="13">
        <v>-5500</v>
      </c>
      <c r="I2405" s="14">
        <f t="shared" si="88"/>
        <v>0.16814149999999956</v>
      </c>
      <c r="J2405" s="13">
        <f t="shared" si="89"/>
        <v>215437.85999999996</v>
      </c>
    </row>
    <row r="2406" spans="1:10" x14ac:dyDescent="0.25">
      <c r="A2406" s="10">
        <v>41245</v>
      </c>
      <c r="B2406" s="11" t="s">
        <v>2</v>
      </c>
      <c r="C2406" s="11" t="s">
        <v>5</v>
      </c>
      <c r="D2406" s="16" t="str">
        <f>HYPERLINK("https://freddywills.com/pick/2404/jaguars-6-5.html", "Jaguars +6.5")</f>
        <v>Jaguars +6.5</v>
      </c>
      <c r="E2406" s="11">
        <v>4.4000000000000004</v>
      </c>
      <c r="F2406" s="11">
        <v>-1.1000000000000001</v>
      </c>
      <c r="G2406" s="11" t="s">
        <v>6</v>
      </c>
      <c r="H2406" s="13">
        <v>-4400</v>
      </c>
      <c r="I2406" s="14">
        <f t="shared" si="88"/>
        <v>0.22314149999999955</v>
      </c>
      <c r="J2406" s="13">
        <f t="shared" si="89"/>
        <v>220937.85999999996</v>
      </c>
    </row>
    <row r="2407" spans="1:10" x14ac:dyDescent="0.25">
      <c r="A2407" s="10">
        <v>41245</v>
      </c>
      <c r="B2407" s="11" t="s">
        <v>2</v>
      </c>
      <c r="C2407" s="11" t="s">
        <v>5</v>
      </c>
      <c r="D2407" s="16" t="str">
        <f>HYPERLINK("https://freddywills.com/pick/2405/chiefs-3.html", "Chiefs +3")</f>
        <v>Chiefs +3</v>
      </c>
      <c r="E2407" s="11">
        <v>2.2000000000000002</v>
      </c>
      <c r="F2407" s="11">
        <v>-1.1000000000000001</v>
      </c>
      <c r="G2407" s="11" t="s">
        <v>4</v>
      </c>
      <c r="H2407" s="13">
        <v>2000</v>
      </c>
      <c r="I2407" s="14">
        <f t="shared" si="88"/>
        <v>0.26714149999999953</v>
      </c>
      <c r="J2407" s="13">
        <f t="shared" si="89"/>
        <v>225337.85999999996</v>
      </c>
    </row>
    <row r="2408" spans="1:10" x14ac:dyDescent="0.25">
      <c r="A2408" s="10">
        <v>41245</v>
      </c>
      <c r="B2408" s="11" t="s">
        <v>2</v>
      </c>
      <c r="C2408" s="11" t="s">
        <v>5</v>
      </c>
      <c r="D2408" s="16" t="str">
        <f>HYPERLINK("https://freddywills.com/pick/2406/steelers-9-5.html", "Steelers +9.5")</f>
        <v>Steelers +9.5</v>
      </c>
      <c r="E2408" s="11">
        <v>3.3</v>
      </c>
      <c r="F2408" s="11">
        <v>-1.1000000000000001</v>
      </c>
      <c r="G2408" s="11" t="s">
        <v>4</v>
      </c>
      <c r="H2408" s="13">
        <v>3000</v>
      </c>
      <c r="I2408" s="14">
        <f t="shared" si="88"/>
        <v>0.24714149999999951</v>
      </c>
      <c r="J2408" s="13">
        <f t="shared" si="89"/>
        <v>223337.85999999996</v>
      </c>
    </row>
    <row r="2409" spans="1:10" x14ac:dyDescent="0.25">
      <c r="A2409" s="10">
        <v>41244</v>
      </c>
      <c r="B2409" s="11" t="s">
        <v>8</v>
      </c>
      <c r="C2409" s="11" t="s">
        <v>5</v>
      </c>
      <c r="D2409" s="16" t="str">
        <f>HYPERLINK("https://freddywills.com/pick/2407/tcu-6.html", "TCU +6")</f>
        <v>TCU +6</v>
      </c>
      <c r="E2409" s="11">
        <v>2.2000000000000002</v>
      </c>
      <c r="F2409" s="11">
        <v>-1.1000000000000001</v>
      </c>
      <c r="G2409" s="11" t="s">
        <v>6</v>
      </c>
      <c r="H2409" s="13">
        <v>-2200</v>
      </c>
      <c r="I2409" s="14">
        <f t="shared" si="88"/>
        <v>0.21714149999999952</v>
      </c>
      <c r="J2409" s="13">
        <f t="shared" si="89"/>
        <v>220337.85999999996</v>
      </c>
    </row>
    <row r="2410" spans="1:10" x14ac:dyDescent="0.25">
      <c r="A2410" s="10">
        <v>41244</v>
      </c>
      <c r="B2410" s="11" t="s">
        <v>8</v>
      </c>
      <c r="C2410" s="11" t="s">
        <v>5</v>
      </c>
      <c r="D2410" s="16" t="str">
        <f>HYPERLINK("https://freddywills.com/pick/2408/fau-9-290.html", "FAU +9/ +290")</f>
        <v>FAU +9/ +290</v>
      </c>
      <c r="E2410" s="11">
        <v>5.4</v>
      </c>
      <c r="F2410" s="11">
        <v>2.9</v>
      </c>
      <c r="G2410" s="11" t="s">
        <v>6</v>
      </c>
      <c r="H2410" s="13">
        <v>-5400</v>
      </c>
      <c r="I2410" s="14">
        <f t="shared" si="88"/>
        <v>0.23914149999999951</v>
      </c>
      <c r="J2410" s="13">
        <f t="shared" si="89"/>
        <v>222537.85999999996</v>
      </c>
    </row>
    <row r="2411" spans="1:10" x14ac:dyDescent="0.25">
      <c r="A2411" s="10">
        <v>41244</v>
      </c>
      <c r="B2411" s="11" t="s">
        <v>8</v>
      </c>
      <c r="C2411" s="11" t="s">
        <v>5</v>
      </c>
      <c r="D2411" s="16" t="str">
        <f>HYPERLINK("https://freddywills.com/pick/2409/alabama-7-120.html", "Alabama -7 -120")</f>
        <v>Alabama -7 -120</v>
      </c>
      <c r="E2411" s="11">
        <v>4.5</v>
      </c>
      <c r="F2411" s="11">
        <v>-1.2</v>
      </c>
      <c r="G2411" s="11" t="s">
        <v>6</v>
      </c>
      <c r="H2411" s="13">
        <v>-4500</v>
      </c>
      <c r="I2411" s="14">
        <f t="shared" si="88"/>
        <v>0.2931414999999995</v>
      </c>
      <c r="J2411" s="13">
        <f t="shared" si="89"/>
        <v>227937.85999999996</v>
      </c>
    </row>
    <row r="2412" spans="1:10" x14ac:dyDescent="0.25">
      <c r="A2412" s="10">
        <v>41244</v>
      </c>
      <c r="B2412" s="11" t="s">
        <v>8</v>
      </c>
      <c r="C2412" s="11" t="s">
        <v>5</v>
      </c>
      <c r="D2412" s="16" t="str">
        <f>HYPERLINK("https://freddywills.com/pick/2410/oklahoma-st-4-5.html", "Oklahoma St -4.5")</f>
        <v>Oklahoma St -4.5</v>
      </c>
      <c r="E2412" s="11">
        <v>1.1000000000000001</v>
      </c>
      <c r="F2412" s="11">
        <v>-1.1000000000000001</v>
      </c>
      <c r="G2412" s="11" t="s">
        <v>6</v>
      </c>
      <c r="H2412" s="13">
        <v>-1100</v>
      </c>
      <c r="I2412" s="14">
        <f t="shared" si="88"/>
        <v>0.33814149999999948</v>
      </c>
      <c r="J2412" s="13">
        <f t="shared" si="89"/>
        <v>232437.85999999996</v>
      </c>
    </row>
    <row r="2413" spans="1:10" x14ac:dyDescent="0.25">
      <c r="A2413" s="10">
        <v>41244</v>
      </c>
      <c r="B2413" s="11" t="s">
        <v>8</v>
      </c>
      <c r="C2413" s="11" t="s">
        <v>5</v>
      </c>
      <c r="D2413" s="16" t="str">
        <f>HYPERLINK("https://freddywills.com/pick/2411/wisconsin-3-5-115.html", "Wisconsin +3.5 -115")</f>
        <v>Wisconsin +3.5 -115</v>
      </c>
      <c r="E2413" s="11">
        <v>5.5</v>
      </c>
      <c r="F2413" s="11">
        <v>-1.1499999999999999</v>
      </c>
      <c r="G2413" s="11" t="s">
        <v>4</v>
      </c>
      <c r="H2413" s="13">
        <v>4782.6099999999997</v>
      </c>
      <c r="I2413" s="14">
        <f t="shared" si="88"/>
        <v>0.34914149999999949</v>
      </c>
      <c r="J2413" s="13">
        <f t="shared" si="89"/>
        <v>233537.85999999996</v>
      </c>
    </row>
    <row r="2414" spans="1:10" x14ac:dyDescent="0.25">
      <c r="A2414" s="10">
        <v>41244</v>
      </c>
      <c r="B2414" s="11" t="s">
        <v>8</v>
      </c>
      <c r="C2414" s="11" t="s">
        <v>5</v>
      </c>
      <c r="D2414" s="16" t="str">
        <f>HYPERLINK("https://freddywills.com/pick/2412/wisconsin-1-5-1h.html", "Wisconsin +1.5 1H")</f>
        <v>Wisconsin +1.5 1H</v>
      </c>
      <c r="E2414" s="11">
        <v>2.2000000000000002</v>
      </c>
      <c r="F2414" s="11">
        <v>-1.1000000000000001</v>
      </c>
      <c r="G2414" s="11" t="s">
        <v>4</v>
      </c>
      <c r="H2414" s="13">
        <v>2000</v>
      </c>
      <c r="I2414" s="14">
        <f t="shared" si="88"/>
        <v>0.30131539999999951</v>
      </c>
      <c r="J2414" s="13">
        <f t="shared" si="89"/>
        <v>228755.24999999997</v>
      </c>
    </row>
    <row r="2415" spans="1:10" x14ac:dyDescent="0.25">
      <c r="A2415" s="10">
        <v>41244</v>
      </c>
      <c r="B2415" s="11" t="s">
        <v>8</v>
      </c>
      <c r="C2415" s="11" t="s">
        <v>5</v>
      </c>
      <c r="D2415" s="16" t="str">
        <f>HYPERLINK("https://freddywills.com/pick/2413/g-tech-14-5-120.html", "G Tech +14.5 -120")</f>
        <v>G Tech +14.5 -120</v>
      </c>
      <c r="E2415" s="11">
        <v>2.5</v>
      </c>
      <c r="F2415" s="11">
        <v>-1.2</v>
      </c>
      <c r="G2415" s="11" t="s">
        <v>4</v>
      </c>
      <c r="H2415" s="13">
        <v>2083.33</v>
      </c>
      <c r="I2415" s="14">
        <f t="shared" si="88"/>
        <v>0.28131539999999949</v>
      </c>
      <c r="J2415" s="13">
        <f t="shared" si="89"/>
        <v>226755.24999999997</v>
      </c>
    </row>
    <row r="2416" spans="1:10" x14ac:dyDescent="0.25">
      <c r="A2416" s="10">
        <v>41243</v>
      </c>
      <c r="B2416" s="11" t="s">
        <v>8</v>
      </c>
      <c r="C2416" s="11" t="s">
        <v>5</v>
      </c>
      <c r="D2416" s="16" t="str">
        <f>HYPERLINK("https://freddywills.com/pick/2414/kent-st-7-5.html", "Kent st +7.5")</f>
        <v>Kent st +7.5</v>
      </c>
      <c r="E2416" s="11">
        <v>1.1000000000000001</v>
      </c>
      <c r="F2416" s="11">
        <v>-1.1000000000000001</v>
      </c>
      <c r="G2416" s="11" t="s">
        <v>4</v>
      </c>
      <c r="H2416" s="13">
        <v>1000</v>
      </c>
      <c r="I2416" s="14">
        <f t="shared" si="88"/>
        <v>0.26048209999999949</v>
      </c>
      <c r="J2416" s="13">
        <f t="shared" si="89"/>
        <v>224671.91999999998</v>
      </c>
    </row>
    <row r="2417" spans="1:10" x14ac:dyDescent="0.25">
      <c r="A2417" s="10">
        <v>41243</v>
      </c>
      <c r="B2417" s="11" t="s">
        <v>8</v>
      </c>
      <c r="C2417" s="11" t="s">
        <v>5</v>
      </c>
      <c r="D2417" s="16" t="str">
        <f>HYPERLINK("https://freddywills.com/pick/2415/ucla-8-5.html", "UCLA +8.5")</f>
        <v>UCLA +8.5</v>
      </c>
      <c r="E2417" s="11">
        <v>5.5</v>
      </c>
      <c r="F2417" s="11">
        <v>-1.1000000000000001</v>
      </c>
      <c r="G2417" s="11" t="s">
        <v>4</v>
      </c>
      <c r="H2417" s="13">
        <v>5000</v>
      </c>
      <c r="I2417" s="14">
        <f t="shared" si="88"/>
        <v>0.25048209999999949</v>
      </c>
      <c r="J2417" s="13">
        <f t="shared" si="89"/>
        <v>223671.91999999998</v>
      </c>
    </row>
    <row r="2418" spans="1:10" x14ac:dyDescent="0.25">
      <c r="A2418" s="10">
        <v>41243</v>
      </c>
      <c r="B2418" s="11" t="s">
        <v>8</v>
      </c>
      <c r="C2418" s="11" t="s">
        <v>18</v>
      </c>
      <c r="D2418" s="16" t="str">
        <f>HYPERLINK("https://freddywills.com/pick/2416/ucla-270.html", "UCLA +270")</f>
        <v>UCLA +270</v>
      </c>
      <c r="E2418" s="11">
        <v>1</v>
      </c>
      <c r="F2418" s="11">
        <v>2.7</v>
      </c>
      <c r="G2418" s="11" t="s">
        <v>6</v>
      </c>
      <c r="H2418" s="13">
        <v>-1000</v>
      </c>
      <c r="I2418" s="14">
        <f t="shared" si="88"/>
        <v>0.2004820999999995</v>
      </c>
      <c r="J2418" s="13">
        <f t="shared" si="89"/>
        <v>218671.91999999998</v>
      </c>
    </row>
    <row r="2419" spans="1:10" x14ac:dyDescent="0.25">
      <c r="A2419" s="10">
        <v>41241</v>
      </c>
      <c r="B2419" s="11" t="s">
        <v>8</v>
      </c>
      <c r="C2419" s="11" t="s">
        <v>5</v>
      </c>
      <c r="D2419" s="16" t="str">
        <f>HYPERLINK("https://freddywills.com/pick/2419/rutgers-2-5-115-wow.html", "Rutgers -2.5 -115 WOW")</f>
        <v>Rutgers -2.5 -115 WOW</v>
      </c>
      <c r="E2419" s="11">
        <v>4.5999999999999996</v>
      </c>
      <c r="F2419" s="11">
        <v>-1.1499999999999999</v>
      </c>
      <c r="G2419" s="11" t="s">
        <v>6</v>
      </c>
      <c r="H2419" s="13">
        <v>-4600</v>
      </c>
      <c r="I2419" s="14">
        <f t="shared" si="88"/>
        <v>0.21048209999999951</v>
      </c>
      <c r="J2419" s="13">
        <f t="shared" si="89"/>
        <v>219671.91999999998</v>
      </c>
    </row>
    <row r="2420" spans="1:10" x14ac:dyDescent="0.25">
      <c r="A2420" s="10">
        <v>41241</v>
      </c>
      <c r="B2420" s="11" t="s">
        <v>2</v>
      </c>
      <c r="C2420" s="11" t="s">
        <v>5</v>
      </c>
      <c r="D2420" s="16" t="str">
        <f>HYPERLINK("https://freddywills.com/pick/2420/falcons-3-120.html", "Falcons -3 -120")</f>
        <v>Falcons -3 -120</v>
      </c>
      <c r="E2420" s="11">
        <v>3.6</v>
      </c>
      <c r="F2420" s="11">
        <v>-1.2</v>
      </c>
      <c r="G2420" s="11" t="s">
        <v>4</v>
      </c>
      <c r="H2420" s="13">
        <v>3000</v>
      </c>
      <c r="I2420" s="14">
        <f t="shared" si="88"/>
        <v>0.25648209999999949</v>
      </c>
      <c r="J2420" s="13">
        <f t="shared" si="89"/>
        <v>224271.91999999998</v>
      </c>
    </row>
    <row r="2421" spans="1:10" x14ac:dyDescent="0.25">
      <c r="A2421" s="10">
        <v>41241</v>
      </c>
      <c r="B2421" s="11" t="s">
        <v>2</v>
      </c>
      <c r="C2421" s="11" t="s">
        <v>10</v>
      </c>
      <c r="D2421" s="16" t="str">
        <f>HYPERLINK("https://freddywills.com/pick/2421/falcons-3-5-u63-130.html", "Falcons +3.5/U63 -130")</f>
        <v>Falcons +3.5/U63 -130</v>
      </c>
      <c r="E2421" s="11">
        <v>1.3</v>
      </c>
      <c r="F2421" s="11">
        <v>-1.1000000000000001</v>
      </c>
      <c r="G2421" s="11" t="s">
        <v>4</v>
      </c>
      <c r="H2421" s="13">
        <v>1181.82</v>
      </c>
      <c r="I2421" s="14">
        <f t="shared" si="88"/>
        <v>0.22648209999999946</v>
      </c>
      <c r="J2421" s="13">
        <f t="shared" si="89"/>
        <v>221271.91999999998</v>
      </c>
    </row>
    <row r="2422" spans="1:10" x14ac:dyDescent="0.25">
      <c r="A2422" s="10">
        <v>41239</v>
      </c>
      <c r="B2422" s="11" t="s">
        <v>2</v>
      </c>
      <c r="C2422" s="11" t="s">
        <v>5</v>
      </c>
      <c r="D2422" s="16" t="str">
        <f>HYPERLINK("https://freddywills.com/pick/2426/giants-2-5.html", "Giants -2.5")</f>
        <v>Giants -2.5</v>
      </c>
      <c r="E2422" s="11">
        <v>4.4000000000000004</v>
      </c>
      <c r="F2422" s="11">
        <v>-1.1000000000000001</v>
      </c>
      <c r="G2422" s="11" t="s">
        <v>4</v>
      </c>
      <c r="H2422" s="13">
        <v>4000</v>
      </c>
      <c r="I2422" s="14">
        <f t="shared" si="88"/>
        <v>0.21466389999999946</v>
      </c>
      <c r="J2422" s="13">
        <f t="shared" si="89"/>
        <v>220090.09999999998</v>
      </c>
    </row>
    <row r="2423" spans="1:10" x14ac:dyDescent="0.25">
      <c r="A2423" s="10">
        <v>41239</v>
      </c>
      <c r="B2423" s="11" t="s">
        <v>2</v>
      </c>
      <c r="C2423" s="11" t="s">
        <v>7</v>
      </c>
      <c r="D2423" s="16" t="str">
        <f>HYPERLINK("https://freddywills.com/pick/2427/car-phi-u42-5.html", "CAR/PHI U42.5")</f>
        <v>CAR/PHI U42.5</v>
      </c>
      <c r="E2423" s="11">
        <v>2.2000000000000002</v>
      </c>
      <c r="F2423" s="11">
        <v>-1.1000000000000001</v>
      </c>
      <c r="G2423" s="11" t="s">
        <v>6</v>
      </c>
      <c r="H2423" s="13">
        <v>-2200</v>
      </c>
      <c r="I2423" s="14">
        <f t="shared" si="88"/>
        <v>0.17466389999999946</v>
      </c>
      <c r="J2423" s="13">
        <f t="shared" si="89"/>
        <v>216090.09999999998</v>
      </c>
    </row>
    <row r="2424" spans="1:10" x14ac:dyDescent="0.25">
      <c r="A2424" s="10">
        <v>41238</v>
      </c>
      <c r="B2424" s="11" t="s">
        <v>2</v>
      </c>
      <c r="C2424" s="11" t="s">
        <v>5</v>
      </c>
      <c r="D2424" s="16" t="str">
        <f>HYPERLINK("https://freddywills.com/pick/2428/browns-3-120.html", "Browns +3 -120")</f>
        <v>Browns +3 -120</v>
      </c>
      <c r="E2424" s="11">
        <v>3.5</v>
      </c>
      <c r="F2424" s="11">
        <v>-1.2</v>
      </c>
      <c r="G2424" s="11" t="s">
        <v>4</v>
      </c>
      <c r="H2424" s="13">
        <v>2916.67</v>
      </c>
      <c r="I2424" s="14">
        <f t="shared" si="88"/>
        <v>0.19666389999999945</v>
      </c>
      <c r="J2424" s="13">
        <f t="shared" si="89"/>
        <v>218290.09999999998</v>
      </c>
    </row>
    <row r="2425" spans="1:10" x14ac:dyDescent="0.25">
      <c r="A2425" s="10">
        <v>41238</v>
      </c>
      <c r="B2425" s="11" t="s">
        <v>2</v>
      </c>
      <c r="C2425" s="11" t="s">
        <v>5</v>
      </c>
      <c r="D2425" s="16" t="str">
        <f>HYPERLINK("https://freddywills.com/pick/2429/49ers-1.html", "49ers -1")</f>
        <v>49ers -1</v>
      </c>
      <c r="E2425" s="11">
        <v>3.3</v>
      </c>
      <c r="F2425" s="11">
        <v>-1.1000000000000001</v>
      </c>
      <c r="G2425" s="11" t="s">
        <v>4</v>
      </c>
      <c r="H2425" s="13">
        <v>3000</v>
      </c>
      <c r="I2425" s="14">
        <f t="shared" si="88"/>
        <v>0.16749719999999946</v>
      </c>
      <c r="J2425" s="13">
        <f t="shared" si="89"/>
        <v>215373.42999999996</v>
      </c>
    </row>
    <row r="2426" spans="1:10" x14ac:dyDescent="0.25">
      <c r="A2426" s="10">
        <v>41237</v>
      </c>
      <c r="B2426" s="11" t="s">
        <v>8</v>
      </c>
      <c r="C2426" s="11" t="s">
        <v>5</v>
      </c>
      <c r="D2426" s="16" t="str">
        <f>HYPERLINK("https://freddywills.com/pick/2432/hawaii-3.html", "Hawaii +3")</f>
        <v>Hawaii +3</v>
      </c>
      <c r="E2426" s="11">
        <v>2.2000000000000002</v>
      </c>
      <c r="F2426" s="11">
        <v>-1.1000000000000001</v>
      </c>
      <c r="G2426" s="11" t="s">
        <v>4</v>
      </c>
      <c r="H2426" s="13">
        <v>2000</v>
      </c>
      <c r="I2426" s="14">
        <f t="shared" si="88"/>
        <v>0.13749719999999946</v>
      </c>
      <c r="J2426" s="13">
        <f t="shared" si="89"/>
        <v>212373.42999999996</v>
      </c>
    </row>
    <row r="2427" spans="1:10" x14ac:dyDescent="0.25">
      <c r="A2427" s="10">
        <v>41237</v>
      </c>
      <c r="B2427" s="11" t="s">
        <v>8</v>
      </c>
      <c r="C2427" s="11" t="s">
        <v>5</v>
      </c>
      <c r="D2427" s="16" t="str">
        <f>HYPERLINK("https://freddywills.com/pick/2433/texas-a-amp-m-22.html", "Texas A&amp;amp;M -22")</f>
        <v>Texas A&amp;amp;M -22</v>
      </c>
      <c r="E2427" s="11">
        <v>1.1000000000000001</v>
      </c>
      <c r="F2427" s="11">
        <v>-1.1000000000000001</v>
      </c>
      <c r="G2427" s="11" t="s">
        <v>4</v>
      </c>
      <c r="H2427" s="13">
        <v>1000</v>
      </c>
      <c r="I2427" s="14">
        <f t="shared" si="88"/>
        <v>0.11749719999999947</v>
      </c>
      <c r="J2427" s="13">
        <f t="shared" si="89"/>
        <v>210373.42999999996</v>
      </c>
    </row>
    <row r="2428" spans="1:10" x14ac:dyDescent="0.25">
      <c r="A2428" s="10">
        <v>41237</v>
      </c>
      <c r="B2428" s="11" t="s">
        <v>8</v>
      </c>
      <c r="C2428" s="11" t="s">
        <v>5</v>
      </c>
      <c r="D2428" s="16" t="str">
        <f>HYPERLINK("https://freddywills.com/pick/2434/usc-5-5-190.html", "USC +5.5 / +190")</f>
        <v>USC +5.5 / +190</v>
      </c>
      <c r="E2428" s="11">
        <v>7.5</v>
      </c>
      <c r="F2428" s="11">
        <v>1.9</v>
      </c>
      <c r="G2428" s="11" t="s">
        <v>6</v>
      </c>
      <c r="H2428" s="13">
        <v>-7500</v>
      </c>
      <c r="I2428" s="14">
        <f t="shared" si="88"/>
        <v>0.10749719999999947</v>
      </c>
      <c r="J2428" s="13">
        <f t="shared" si="89"/>
        <v>209373.42999999996</v>
      </c>
    </row>
    <row r="2429" spans="1:10" x14ac:dyDescent="0.25">
      <c r="A2429" s="10">
        <v>41237</v>
      </c>
      <c r="B2429" s="11" t="s">
        <v>8</v>
      </c>
      <c r="C2429" s="11" t="s">
        <v>5</v>
      </c>
      <c r="D2429" s="16" t="str">
        <f>HYPERLINK("https://freddywills.com/pick/2435/texas-tech-3-5-150.html", "Texas Tech +3.5 / +150")</f>
        <v>Texas Tech +3.5 / +150</v>
      </c>
      <c r="E2429" s="11">
        <v>4.3</v>
      </c>
      <c r="F2429" s="11">
        <v>1.5</v>
      </c>
      <c r="G2429" s="11" t="s">
        <v>6</v>
      </c>
      <c r="H2429" s="13">
        <v>-4300</v>
      </c>
      <c r="I2429" s="14">
        <f t="shared" si="88"/>
        <v>0.18249719999999947</v>
      </c>
      <c r="J2429" s="13">
        <f t="shared" si="89"/>
        <v>216873.42999999996</v>
      </c>
    </row>
    <row r="2430" spans="1:10" x14ac:dyDescent="0.25">
      <c r="A2430" s="10">
        <v>41237</v>
      </c>
      <c r="B2430" s="11" t="s">
        <v>8</v>
      </c>
      <c r="C2430" s="11" t="s">
        <v>5</v>
      </c>
      <c r="D2430" s="16" t="str">
        <f>HYPERLINK("https://freddywills.com/pick/2436/oregon-state-10.html", "Oregon State +10")</f>
        <v>Oregon State +10</v>
      </c>
      <c r="E2430" s="11">
        <v>2.2000000000000002</v>
      </c>
      <c r="F2430" s="11">
        <v>-1.1000000000000001</v>
      </c>
      <c r="G2430" s="11" t="s">
        <v>6</v>
      </c>
      <c r="H2430" s="13">
        <v>-2200</v>
      </c>
      <c r="I2430" s="14">
        <f t="shared" si="88"/>
        <v>0.22549719999999948</v>
      </c>
      <c r="J2430" s="13">
        <f t="shared" si="89"/>
        <v>221173.42999999996</v>
      </c>
    </row>
    <row r="2431" spans="1:10" x14ac:dyDescent="0.25">
      <c r="A2431" s="10">
        <v>41237</v>
      </c>
      <c r="B2431" s="11" t="s">
        <v>8</v>
      </c>
      <c r="C2431" s="11" t="s">
        <v>5</v>
      </c>
      <c r="D2431" s="16" t="str">
        <f>HYPERLINK("https://freddywills.com/pick/2437/wake-forest-11-5-360.html", "Wake Forest +11.5 / +360")</f>
        <v>Wake Forest +11.5 / +360</v>
      </c>
      <c r="E2431" s="11">
        <v>4.3</v>
      </c>
      <c r="F2431" s="11">
        <v>3.6</v>
      </c>
      <c r="G2431" s="11" t="s">
        <v>6</v>
      </c>
      <c r="H2431" s="13">
        <v>-4300</v>
      </c>
      <c r="I2431" s="14">
        <f t="shared" si="88"/>
        <v>0.24749719999999947</v>
      </c>
      <c r="J2431" s="13">
        <f t="shared" si="89"/>
        <v>223373.42999999996</v>
      </c>
    </row>
    <row r="2432" spans="1:10" x14ac:dyDescent="0.25">
      <c r="A2432" s="10">
        <v>41236</v>
      </c>
      <c r="B2432" s="11" t="s">
        <v>8</v>
      </c>
      <c r="C2432" s="11" t="s">
        <v>5</v>
      </c>
      <c r="D2432" s="16" t="str">
        <f>HYPERLINK("https://freddywills.com/pick/2438/utah-22.html", "Utah -22")</f>
        <v>Utah -22</v>
      </c>
      <c r="E2432" s="11">
        <v>1.1000000000000001</v>
      </c>
      <c r="F2432" s="11">
        <v>-1.1000000000000001</v>
      </c>
      <c r="G2432" s="11" t="s">
        <v>6</v>
      </c>
      <c r="H2432" s="13">
        <v>-1100</v>
      </c>
      <c r="I2432" s="14">
        <f t="shared" si="88"/>
        <v>0.29049719999999946</v>
      </c>
      <c r="J2432" s="13">
        <f t="shared" si="89"/>
        <v>227673.42999999996</v>
      </c>
    </row>
    <row r="2433" spans="1:10" x14ac:dyDescent="0.25">
      <c r="A2433" s="10">
        <v>41236</v>
      </c>
      <c r="B2433" s="11" t="s">
        <v>8</v>
      </c>
      <c r="C2433" s="11" t="s">
        <v>5</v>
      </c>
      <c r="D2433" s="16" t="str">
        <f>HYPERLINK("https://freddywills.com/pick/2439/temple-8.html", "Temple +8")</f>
        <v>Temple +8</v>
      </c>
      <c r="E2433" s="11">
        <v>3.3</v>
      </c>
      <c r="F2433" s="11">
        <v>-1.1000000000000001</v>
      </c>
      <c r="G2433" s="11" t="s">
        <v>6</v>
      </c>
      <c r="H2433" s="13">
        <v>-3300</v>
      </c>
      <c r="I2433" s="14">
        <f t="shared" si="88"/>
        <v>0.30149719999999947</v>
      </c>
      <c r="J2433" s="13">
        <f t="shared" si="89"/>
        <v>228773.42999999996</v>
      </c>
    </row>
    <row r="2434" spans="1:10" x14ac:dyDescent="0.25">
      <c r="A2434" s="10">
        <v>41236</v>
      </c>
      <c r="B2434" s="11" t="s">
        <v>8</v>
      </c>
      <c r="C2434" s="11" t="s">
        <v>5</v>
      </c>
      <c r="D2434" s="16" t="str">
        <f>HYPERLINK("https://freddywills.com/pick/2440/arkansas-12-5.html", "Arkansas +12.5")</f>
        <v>Arkansas +12.5</v>
      </c>
      <c r="E2434" s="11">
        <v>5.5</v>
      </c>
      <c r="F2434" s="11">
        <v>-1.1000000000000001</v>
      </c>
      <c r="G2434" s="11" t="s">
        <v>4</v>
      </c>
      <c r="H2434" s="13">
        <v>5000</v>
      </c>
      <c r="I2434" s="14">
        <f t="shared" si="88"/>
        <v>0.33449719999999949</v>
      </c>
      <c r="J2434" s="13">
        <f t="shared" si="89"/>
        <v>232073.42999999996</v>
      </c>
    </row>
    <row r="2435" spans="1:10" x14ac:dyDescent="0.25">
      <c r="A2435" s="10">
        <v>41236</v>
      </c>
      <c r="B2435" s="11" t="s">
        <v>8</v>
      </c>
      <c r="C2435" s="11" t="s">
        <v>5</v>
      </c>
      <c r="D2435" s="16" t="str">
        <f>HYPERLINK("https://freddywills.com/pick/2441/west-virginia-1-5.html", "West Virginia -1.5")</f>
        <v>West Virginia -1.5</v>
      </c>
      <c r="E2435" s="11">
        <v>2.2000000000000002</v>
      </c>
      <c r="F2435" s="11">
        <v>-1.1000000000000001</v>
      </c>
      <c r="G2435" s="11" t="s">
        <v>4</v>
      </c>
      <c r="H2435" s="13">
        <v>2000</v>
      </c>
      <c r="I2435" s="14">
        <f t="shared" si="88"/>
        <v>0.28449719999999951</v>
      </c>
      <c r="J2435" s="13">
        <f t="shared" si="89"/>
        <v>227073.42999999996</v>
      </c>
    </row>
    <row r="2436" spans="1:10" x14ac:dyDescent="0.25">
      <c r="A2436" s="10">
        <v>41236</v>
      </c>
      <c r="B2436" s="11" t="s">
        <v>8</v>
      </c>
      <c r="C2436" s="11" t="s">
        <v>5</v>
      </c>
      <c r="D2436" s="16" t="str">
        <f>HYPERLINK("https://freddywills.com/pick/2442/arizona-state-3-115.html", "Arizona State +3 -115")</f>
        <v>Arizona State +3 -115</v>
      </c>
      <c r="E2436" s="11">
        <v>2.5</v>
      </c>
      <c r="F2436" s="11">
        <v>-1.1499999999999999</v>
      </c>
      <c r="G2436" s="11" t="s">
        <v>4</v>
      </c>
      <c r="H2436" s="13">
        <v>2173.91</v>
      </c>
      <c r="I2436" s="14">
        <f t="shared" si="88"/>
        <v>0.26449719999999949</v>
      </c>
      <c r="J2436" s="13">
        <f t="shared" si="89"/>
        <v>225073.42999999996</v>
      </c>
    </row>
    <row r="2437" spans="1:10" x14ac:dyDescent="0.25">
      <c r="A2437" s="10">
        <v>41235</v>
      </c>
      <c r="B2437" s="11" t="s">
        <v>8</v>
      </c>
      <c r="C2437" s="11" t="s">
        <v>5</v>
      </c>
      <c r="D2437" s="16" t="str">
        <f>HYPERLINK("https://freddywills.com/pick/2443/tcu-7-5.html", "TCU +7.5")</f>
        <v>TCU +7.5</v>
      </c>
      <c r="E2437" s="11">
        <v>4.4000000000000004</v>
      </c>
      <c r="F2437" s="11">
        <v>-1.1000000000000001</v>
      </c>
      <c r="G2437" s="11" t="s">
        <v>4</v>
      </c>
      <c r="H2437" s="13">
        <v>4000</v>
      </c>
      <c r="I2437" s="14">
        <f t="shared" si="88"/>
        <v>0.2427580999999995</v>
      </c>
      <c r="J2437" s="13">
        <f t="shared" si="89"/>
        <v>222899.51999999996</v>
      </c>
    </row>
    <row r="2438" spans="1:10" x14ac:dyDescent="0.25">
      <c r="A2438" s="10">
        <v>41235</v>
      </c>
      <c r="B2438" s="11" t="s">
        <v>2</v>
      </c>
      <c r="C2438" s="11" t="s">
        <v>5</v>
      </c>
      <c r="D2438" s="16" t="str">
        <f>HYPERLINK("https://freddywills.com/pick/2444/lions-3-5.html", "Lions +3.5")</f>
        <v>Lions +3.5</v>
      </c>
      <c r="E2438" s="11">
        <v>3.3</v>
      </c>
      <c r="F2438" s="11">
        <v>-1.1000000000000001</v>
      </c>
      <c r="G2438" s="11" t="s">
        <v>4</v>
      </c>
      <c r="H2438" s="13">
        <v>3000</v>
      </c>
      <c r="I2438" s="14">
        <f t="shared" si="88"/>
        <v>0.2027580999999995</v>
      </c>
      <c r="J2438" s="13">
        <f t="shared" si="89"/>
        <v>218899.51999999996</v>
      </c>
    </row>
    <row r="2439" spans="1:10" x14ac:dyDescent="0.25">
      <c r="A2439" s="10">
        <v>41235</v>
      </c>
      <c r="B2439" s="11" t="s">
        <v>2</v>
      </c>
      <c r="C2439" s="11" t="s">
        <v>10</v>
      </c>
      <c r="D2439" s="16" t="str">
        <f>HYPERLINK("https://freddywills.com/pick/2445/lions-10-5-cowboys-4.html", "Lions +10.5/ Cowboys +4")</f>
        <v>Lions +10.5/ Cowboys +4</v>
      </c>
      <c r="E2439" s="11">
        <v>2.5</v>
      </c>
      <c r="F2439" s="11">
        <v>-1.1000000000000001</v>
      </c>
      <c r="G2439" s="11" t="s">
        <v>6</v>
      </c>
      <c r="H2439" s="13">
        <v>-2500</v>
      </c>
      <c r="I2439" s="14">
        <f t="shared" si="88"/>
        <v>0.1727580999999995</v>
      </c>
      <c r="J2439" s="13">
        <f t="shared" si="89"/>
        <v>215899.51999999996</v>
      </c>
    </row>
    <row r="2440" spans="1:10" x14ac:dyDescent="0.25">
      <c r="A2440" s="10">
        <v>41235</v>
      </c>
      <c r="B2440" s="11" t="s">
        <v>2</v>
      </c>
      <c r="C2440" s="11" t="s">
        <v>5</v>
      </c>
      <c r="D2440" s="16" t="str">
        <f>HYPERLINK("https://freddywills.com/pick/2446/cowboys-3.html", "Cowboys -3")</f>
        <v>Cowboys -3</v>
      </c>
      <c r="E2440" s="11">
        <v>5.5</v>
      </c>
      <c r="F2440" s="11">
        <v>-1.1000000000000001</v>
      </c>
      <c r="G2440" s="11" t="s">
        <v>6</v>
      </c>
      <c r="H2440" s="13">
        <v>-5500</v>
      </c>
      <c r="I2440" s="14">
        <f t="shared" si="88"/>
        <v>0.19775809999999949</v>
      </c>
      <c r="J2440" s="13">
        <f t="shared" si="89"/>
        <v>218399.51999999996</v>
      </c>
    </row>
    <row r="2441" spans="1:10" x14ac:dyDescent="0.25">
      <c r="A2441" s="10">
        <v>41235</v>
      </c>
      <c r="B2441" s="11" t="s">
        <v>2</v>
      </c>
      <c r="C2441" s="11" t="s">
        <v>7</v>
      </c>
      <c r="D2441" s="16" t="str">
        <f>HYPERLINK("https://freddywills.com/pick/2447/cowboys-redskins-u48.html", "Cowboys/Redskins U48")</f>
        <v>Cowboys/Redskins U48</v>
      </c>
      <c r="E2441" s="11">
        <v>1.1000000000000001</v>
      </c>
      <c r="F2441" s="11">
        <v>-1.1000000000000001</v>
      </c>
      <c r="G2441" s="11" t="s">
        <v>6</v>
      </c>
      <c r="H2441" s="13">
        <v>-1100</v>
      </c>
      <c r="I2441" s="14">
        <f t="shared" si="88"/>
        <v>0.25275809999999949</v>
      </c>
      <c r="J2441" s="13">
        <f t="shared" si="89"/>
        <v>223899.51999999996</v>
      </c>
    </row>
    <row r="2442" spans="1:10" x14ac:dyDescent="0.25">
      <c r="A2442" s="10">
        <v>41233</v>
      </c>
      <c r="B2442" s="11" t="s">
        <v>8</v>
      </c>
      <c r="C2442" s="11" t="s">
        <v>5</v>
      </c>
      <c r="D2442" s="16" t="str">
        <f>HYPERLINK("https://freddywills.com/pick/2456/akron-19.html", "Akron +19")</f>
        <v>Akron +19</v>
      </c>
      <c r="E2442" s="11">
        <v>4.4000000000000004</v>
      </c>
      <c r="F2442" s="11">
        <v>-1.1000000000000001</v>
      </c>
      <c r="G2442" s="11" t="s">
        <v>4</v>
      </c>
      <c r="H2442" s="13">
        <v>4000</v>
      </c>
      <c r="I2442" s="14">
        <f t="shared" si="88"/>
        <v>0.2637580999999995</v>
      </c>
      <c r="J2442" s="13">
        <f t="shared" si="89"/>
        <v>224999.51999999996</v>
      </c>
    </row>
    <row r="2443" spans="1:10" x14ac:dyDescent="0.25">
      <c r="A2443" s="10">
        <v>41233</v>
      </c>
      <c r="B2443" s="11" t="s">
        <v>8</v>
      </c>
      <c r="C2443" s="11" t="s">
        <v>18</v>
      </c>
      <c r="D2443" s="16" t="str">
        <f>HYPERLINK("https://freddywills.com/pick/2457/akron-900.html", "Akron +900")</f>
        <v>Akron +900</v>
      </c>
      <c r="E2443" s="11">
        <v>0.5</v>
      </c>
      <c r="F2443" s="11">
        <v>9</v>
      </c>
      <c r="G2443" s="11" t="s">
        <v>6</v>
      </c>
      <c r="H2443" s="13">
        <v>-500</v>
      </c>
      <c r="I2443" s="14">
        <f t="shared" si="88"/>
        <v>0.22375809999999952</v>
      </c>
      <c r="J2443" s="13">
        <f t="shared" si="89"/>
        <v>220999.51999999996</v>
      </c>
    </row>
    <row r="2444" spans="1:10" x14ac:dyDescent="0.25">
      <c r="A2444" s="10">
        <v>41232</v>
      </c>
      <c r="B2444" s="11" t="s">
        <v>2</v>
      </c>
      <c r="C2444" s="11" t="s">
        <v>5</v>
      </c>
      <c r="D2444" s="16" t="str">
        <f>HYPERLINK("https://freddywills.com/pick/2474/49ers-3-5.html", "49ers -3.5")</f>
        <v>49ers -3.5</v>
      </c>
      <c r="E2444" s="11">
        <v>4.4000000000000004</v>
      </c>
      <c r="F2444" s="11">
        <v>-1.1000000000000001</v>
      </c>
      <c r="G2444" s="11" t="s">
        <v>4</v>
      </c>
      <c r="H2444" s="13">
        <v>4000</v>
      </c>
      <c r="I2444" s="14">
        <f t="shared" si="88"/>
        <v>0.22875809999999952</v>
      </c>
      <c r="J2444" s="13">
        <f t="shared" si="89"/>
        <v>221499.51999999996</v>
      </c>
    </row>
    <row r="2445" spans="1:10" x14ac:dyDescent="0.25">
      <c r="A2445" s="10">
        <v>41231</v>
      </c>
      <c r="B2445" s="11" t="s">
        <v>2</v>
      </c>
      <c r="C2445" s="11" t="s">
        <v>5</v>
      </c>
      <c r="D2445" s="16" t="str">
        <f>HYPERLINK("https://freddywills.com/pick/2475/patriots-9-5.html", "Patriots -9.5")</f>
        <v>Patriots -9.5</v>
      </c>
      <c r="E2445" s="11">
        <v>1.1000000000000001</v>
      </c>
      <c r="F2445" s="11">
        <v>-1.1000000000000001</v>
      </c>
      <c r="G2445" s="11" t="s">
        <v>4</v>
      </c>
      <c r="H2445" s="13">
        <v>1000</v>
      </c>
      <c r="I2445" s="14">
        <f t="shared" si="88"/>
        <v>0.18875809999999951</v>
      </c>
      <c r="J2445" s="13">
        <f t="shared" si="89"/>
        <v>217499.51999999996</v>
      </c>
    </row>
    <row r="2446" spans="1:10" x14ac:dyDescent="0.25">
      <c r="A2446" s="10">
        <v>41231</v>
      </c>
      <c r="B2446" s="11" t="s">
        <v>2</v>
      </c>
      <c r="C2446" s="11" t="s">
        <v>5</v>
      </c>
      <c r="D2446" s="16" t="str">
        <f>HYPERLINK("https://freddywills.com/pick/2476/chiefs-3-5.html", "Chiefs +3.5")</f>
        <v>Chiefs +3.5</v>
      </c>
      <c r="E2446" s="11">
        <v>5.5</v>
      </c>
      <c r="F2446" s="11">
        <v>-1.1000000000000001</v>
      </c>
      <c r="G2446" s="11" t="s">
        <v>6</v>
      </c>
      <c r="H2446" s="13">
        <v>-5500</v>
      </c>
      <c r="I2446" s="14">
        <f t="shared" si="88"/>
        <v>0.1787580999999995</v>
      </c>
      <c r="J2446" s="13">
        <f t="shared" si="89"/>
        <v>216499.51999999996</v>
      </c>
    </row>
    <row r="2447" spans="1:10" x14ac:dyDescent="0.25">
      <c r="A2447" s="10">
        <v>41231</v>
      </c>
      <c r="B2447" s="11" t="s">
        <v>2</v>
      </c>
      <c r="C2447" s="11" t="s">
        <v>5</v>
      </c>
      <c r="D2447" s="16" t="str">
        <f>HYPERLINK("https://freddywills.com/pick/2477/jaguars-15.html", "Jaguars +15")</f>
        <v>Jaguars +15</v>
      </c>
      <c r="E2447" s="11">
        <v>3.3</v>
      </c>
      <c r="F2447" s="11">
        <v>-1.1000000000000001</v>
      </c>
      <c r="G2447" s="11" t="s">
        <v>4</v>
      </c>
      <c r="H2447" s="13">
        <v>3000</v>
      </c>
      <c r="I2447" s="14">
        <f t="shared" ref="I2447:I2510" si="90">(H2447/100000)+I2448</f>
        <v>0.2337580999999995</v>
      </c>
      <c r="J2447" s="13">
        <f t="shared" ref="J2447:J2510" si="91">H2447+J2448</f>
        <v>221999.51999999996</v>
      </c>
    </row>
    <row r="2448" spans="1:10" x14ac:dyDescent="0.25">
      <c r="A2448" s="10">
        <v>41231</v>
      </c>
      <c r="B2448" s="11" t="s">
        <v>2</v>
      </c>
      <c r="C2448" s="11" t="s">
        <v>5</v>
      </c>
      <c r="D2448" s="16" t="str">
        <f>HYPERLINK("https://freddywills.com/pick/2478/panthers-1.html", "Panthers +1")</f>
        <v>Panthers +1</v>
      </c>
      <c r="E2448" s="11">
        <v>3.3</v>
      </c>
      <c r="F2448" s="11">
        <v>-1.1000000000000001</v>
      </c>
      <c r="G2448" s="11" t="s">
        <v>6</v>
      </c>
      <c r="H2448" s="13">
        <v>-3300</v>
      </c>
      <c r="I2448" s="14">
        <f t="shared" si="90"/>
        <v>0.2037580999999995</v>
      </c>
      <c r="J2448" s="13">
        <f t="shared" si="91"/>
        <v>218999.51999999996</v>
      </c>
    </row>
    <row r="2449" spans="1:10" x14ac:dyDescent="0.25">
      <c r="A2449" s="10">
        <v>41231</v>
      </c>
      <c r="B2449" s="11" t="s">
        <v>2</v>
      </c>
      <c r="C2449" s="11" t="s">
        <v>10</v>
      </c>
      <c r="D2449" s="16" t="str">
        <f>HYPERLINK("https://freddywills.com/pick/2479/panthers-7-5-jaguars-21-5-120.html", "Panthers +7.5/ Jaguars +21.5 -120")</f>
        <v>Panthers +7.5/ Jaguars +21.5 -120</v>
      </c>
      <c r="E2449" s="11">
        <v>2.4</v>
      </c>
      <c r="F2449" s="11">
        <v>-1.2</v>
      </c>
      <c r="G2449" s="11" t="s">
        <v>4</v>
      </c>
      <c r="H2449" s="13">
        <v>2000</v>
      </c>
      <c r="I2449" s="14">
        <f t="shared" si="90"/>
        <v>0.2367580999999995</v>
      </c>
      <c r="J2449" s="13">
        <f t="shared" si="91"/>
        <v>222299.51999999996</v>
      </c>
    </row>
    <row r="2450" spans="1:10" x14ac:dyDescent="0.25">
      <c r="A2450" s="10">
        <v>41230</v>
      </c>
      <c r="B2450" s="11" t="s">
        <v>8</v>
      </c>
      <c r="C2450" s="11" t="s">
        <v>5</v>
      </c>
      <c r="D2450" s="16" t="str">
        <f>HYPERLINK("https://freddywills.com/pick/2480/san-jose-3-5.html", "San Jose +3.5")</f>
        <v>San Jose +3.5</v>
      </c>
      <c r="E2450" s="11">
        <v>2.2000000000000002</v>
      </c>
      <c r="F2450" s="11">
        <v>-1.1000000000000001</v>
      </c>
      <c r="G2450" s="11" t="s">
        <v>4</v>
      </c>
      <c r="H2450" s="13">
        <v>2000</v>
      </c>
      <c r="I2450" s="14">
        <f t="shared" si="90"/>
        <v>0.21675809999999951</v>
      </c>
      <c r="J2450" s="13">
        <f t="shared" si="91"/>
        <v>220299.51999999996</v>
      </c>
    </row>
    <row r="2451" spans="1:10" x14ac:dyDescent="0.25">
      <c r="A2451" s="10">
        <v>41230</v>
      </c>
      <c r="B2451" s="11" t="s">
        <v>8</v>
      </c>
      <c r="C2451" s="11" t="s">
        <v>5</v>
      </c>
      <c r="D2451" s="16" t="str">
        <f>HYPERLINK("https://freddywills.com/pick/2481/ohio-state-3-120.html", "Ohio State +3 -120")</f>
        <v>Ohio State +3 -120</v>
      </c>
      <c r="E2451" s="11">
        <v>5.5</v>
      </c>
      <c r="F2451" s="11">
        <v>-1.2</v>
      </c>
      <c r="G2451" s="11" t="s">
        <v>4</v>
      </c>
      <c r="H2451" s="13">
        <v>4583.33</v>
      </c>
      <c r="I2451" s="14">
        <f t="shared" si="90"/>
        <v>0.19675809999999952</v>
      </c>
      <c r="J2451" s="13">
        <f t="shared" si="91"/>
        <v>218299.51999999996</v>
      </c>
    </row>
    <row r="2452" spans="1:10" x14ac:dyDescent="0.25">
      <c r="A2452" s="10">
        <v>41230</v>
      </c>
      <c r="B2452" s="11" t="s">
        <v>8</v>
      </c>
      <c r="C2452" s="11" t="s">
        <v>5</v>
      </c>
      <c r="D2452" s="16" t="str">
        <f>HYPERLINK("https://freddywills.com/pick/2482/ucla-3-5.html", "UCLA +3.5")</f>
        <v>UCLA +3.5</v>
      </c>
      <c r="E2452" s="11">
        <v>4.4000000000000004</v>
      </c>
      <c r="F2452" s="11">
        <v>-1.1000000000000001</v>
      </c>
      <c r="G2452" s="11" t="s">
        <v>4</v>
      </c>
      <c r="H2452" s="13">
        <v>4000</v>
      </c>
      <c r="I2452" s="14">
        <f t="shared" si="90"/>
        <v>0.15092479999999953</v>
      </c>
      <c r="J2452" s="13">
        <f t="shared" si="91"/>
        <v>213716.18999999997</v>
      </c>
    </row>
    <row r="2453" spans="1:10" x14ac:dyDescent="0.25">
      <c r="A2453" s="10">
        <v>41230</v>
      </c>
      <c r="B2453" s="11" t="s">
        <v>8</v>
      </c>
      <c r="C2453" s="11" t="s">
        <v>5</v>
      </c>
      <c r="D2453" s="16" t="str">
        <f>HYPERLINK("https://freddywills.com/pick/2483/rutgers-7-120.html", "Rutgers +7 -120")</f>
        <v>Rutgers +7 -120</v>
      </c>
      <c r="E2453" s="11">
        <v>4.2</v>
      </c>
      <c r="F2453" s="11">
        <v>-1.2</v>
      </c>
      <c r="G2453" s="11" t="s">
        <v>4</v>
      </c>
      <c r="H2453" s="13">
        <v>3500</v>
      </c>
      <c r="I2453" s="14">
        <f t="shared" si="90"/>
        <v>0.11092479999999953</v>
      </c>
      <c r="J2453" s="13">
        <f t="shared" si="91"/>
        <v>209716.18999999997</v>
      </c>
    </row>
    <row r="2454" spans="1:10" x14ac:dyDescent="0.25">
      <c r="A2454" s="10">
        <v>41230</v>
      </c>
      <c r="B2454" s="11" t="s">
        <v>8</v>
      </c>
      <c r="C2454" s="11" t="s">
        <v>5</v>
      </c>
      <c r="D2454" s="16" t="str">
        <f>HYPERLINK("https://freddywills.com/pick/2484/marshall-3-115.html", "Marshall -3 -115")</f>
        <v>Marshall -3 -115</v>
      </c>
      <c r="E2454" s="11">
        <v>2.5</v>
      </c>
      <c r="F2454" s="11">
        <v>-1.1000000000000001</v>
      </c>
      <c r="G2454" s="11" t="s">
        <v>9</v>
      </c>
      <c r="H2454" s="13">
        <v>0</v>
      </c>
      <c r="I2454" s="14">
        <f t="shared" si="90"/>
        <v>7.5924799999999529E-2</v>
      </c>
      <c r="J2454" s="13">
        <f t="shared" si="91"/>
        <v>206216.18999999997</v>
      </c>
    </row>
    <row r="2455" spans="1:10" x14ac:dyDescent="0.25">
      <c r="A2455" s="10">
        <v>41230</v>
      </c>
      <c r="B2455" s="11" t="s">
        <v>8</v>
      </c>
      <c r="C2455" s="11" t="s">
        <v>5</v>
      </c>
      <c r="D2455" s="16" t="str">
        <f>HYPERLINK("https://freddywills.com/pick/2485/northwestern-7-5.html", "Northwestern +7.5")</f>
        <v>Northwestern +7.5</v>
      </c>
      <c r="E2455" s="11">
        <v>1.1000000000000001</v>
      </c>
      <c r="F2455" s="11">
        <v>-1.1000000000000001</v>
      </c>
      <c r="G2455" s="11" t="s">
        <v>4</v>
      </c>
      <c r="H2455" s="13">
        <v>1000</v>
      </c>
      <c r="I2455" s="14">
        <f t="shared" si="90"/>
        <v>7.5924799999999529E-2</v>
      </c>
      <c r="J2455" s="13">
        <f t="shared" si="91"/>
        <v>206216.18999999997</v>
      </c>
    </row>
    <row r="2456" spans="1:10" x14ac:dyDescent="0.25">
      <c r="A2456" s="10">
        <v>41229</v>
      </c>
      <c r="B2456" s="11" t="s">
        <v>8</v>
      </c>
      <c r="C2456" s="11" t="s">
        <v>5</v>
      </c>
      <c r="D2456" s="16" t="str">
        <f>HYPERLINK("https://freddywills.com/pick/2488/fau-1.html", "FAU -1")</f>
        <v>FAU -1</v>
      </c>
      <c r="E2456" s="11">
        <v>3.5</v>
      </c>
      <c r="F2456" s="11">
        <v>-1.1000000000000001</v>
      </c>
      <c r="G2456" s="11" t="s">
        <v>6</v>
      </c>
      <c r="H2456" s="13">
        <v>-3500</v>
      </c>
      <c r="I2456" s="14">
        <f t="shared" si="90"/>
        <v>6.5924799999999534E-2</v>
      </c>
      <c r="J2456" s="13">
        <f t="shared" si="91"/>
        <v>205216.18999999997</v>
      </c>
    </row>
    <row r="2457" spans="1:10" x14ac:dyDescent="0.25">
      <c r="A2457" s="10">
        <v>41229</v>
      </c>
      <c r="B2457" s="11" t="s">
        <v>8</v>
      </c>
      <c r="C2457" s="11" t="s">
        <v>5</v>
      </c>
      <c r="D2457" s="16" t="str">
        <f>HYPERLINK("https://freddywills.com/pick/2489/air-force-21.html", "Air Force -21")</f>
        <v>Air Force -21</v>
      </c>
      <c r="E2457" s="11">
        <v>3</v>
      </c>
      <c r="F2457" s="11">
        <v>-1.1000000000000001</v>
      </c>
      <c r="G2457" s="11" t="s">
        <v>6</v>
      </c>
      <c r="H2457" s="13">
        <v>-3000</v>
      </c>
      <c r="I2457" s="14">
        <f t="shared" si="90"/>
        <v>0.10092479999999954</v>
      </c>
      <c r="J2457" s="13">
        <f t="shared" si="91"/>
        <v>208716.18999999997</v>
      </c>
    </row>
    <row r="2458" spans="1:10" x14ac:dyDescent="0.25">
      <c r="A2458" s="10">
        <v>41228</v>
      </c>
      <c r="B2458" s="11" t="s">
        <v>8</v>
      </c>
      <c r="C2458" s="11" t="s">
        <v>5</v>
      </c>
      <c r="D2458" s="16" t="str">
        <f>HYPERLINK("https://freddywills.com/pick/2490/virginia-3-5.html", "Virginia +3.5")</f>
        <v>Virginia +3.5</v>
      </c>
      <c r="E2458" s="11">
        <v>3.3</v>
      </c>
      <c r="F2458" s="11">
        <v>-1.1000000000000001</v>
      </c>
      <c r="G2458" s="11" t="s">
        <v>6</v>
      </c>
      <c r="H2458" s="13">
        <v>-3300</v>
      </c>
      <c r="I2458" s="14">
        <f t="shared" si="90"/>
        <v>0.13092479999999954</v>
      </c>
      <c r="J2458" s="13">
        <f t="shared" si="91"/>
        <v>211716.18999999997</v>
      </c>
    </row>
    <row r="2459" spans="1:10" x14ac:dyDescent="0.25">
      <c r="A2459" s="10">
        <v>41228</v>
      </c>
      <c r="B2459" s="11" t="s">
        <v>8</v>
      </c>
      <c r="C2459" s="11" t="s">
        <v>5</v>
      </c>
      <c r="D2459" s="16" t="str">
        <f>HYPERLINK("https://freddywills.com/pick/2491/virginia-1-5-1h.html", "Virginia +1.5 1H")</f>
        <v>Virginia +1.5 1H</v>
      </c>
      <c r="E2459" s="11">
        <v>1.1000000000000001</v>
      </c>
      <c r="F2459" s="11">
        <v>-1.1000000000000001</v>
      </c>
      <c r="G2459" s="11" t="s">
        <v>6</v>
      </c>
      <c r="H2459" s="13">
        <v>-1100</v>
      </c>
      <c r="I2459" s="14">
        <f t="shared" si="90"/>
        <v>0.16392479999999954</v>
      </c>
      <c r="J2459" s="13">
        <f t="shared" si="91"/>
        <v>215016.18999999997</v>
      </c>
    </row>
    <row r="2460" spans="1:10" x14ac:dyDescent="0.25">
      <c r="A2460" s="10">
        <v>41227</v>
      </c>
      <c r="B2460" s="11" t="s">
        <v>8</v>
      </c>
      <c r="C2460" s="11" t="s">
        <v>5</v>
      </c>
      <c r="D2460" s="16" t="str">
        <f>HYPERLINK("https://freddywills.com/pick/2492/ohio-7-115.html", "Ohio +7 -115")</f>
        <v>Ohio +7 -115</v>
      </c>
      <c r="E2460" s="11">
        <v>4.5</v>
      </c>
      <c r="F2460" s="11">
        <v>-1.1499999999999999</v>
      </c>
      <c r="G2460" s="11" t="s">
        <v>6</v>
      </c>
      <c r="H2460" s="13">
        <v>-4500</v>
      </c>
      <c r="I2460" s="14">
        <f t="shared" si="90"/>
        <v>0.17492479999999955</v>
      </c>
      <c r="J2460" s="13">
        <f t="shared" si="91"/>
        <v>216116.18999999997</v>
      </c>
    </row>
    <row r="2461" spans="1:10" x14ac:dyDescent="0.25">
      <c r="A2461" s="10">
        <v>41227</v>
      </c>
      <c r="B2461" s="11" t="s">
        <v>8</v>
      </c>
      <c r="C2461" s="11" t="s">
        <v>18</v>
      </c>
      <c r="D2461" s="16" t="str">
        <f>HYPERLINK("https://freddywills.com/pick/2493/ohio-225.html", "Ohio +225")</f>
        <v>Ohio +225</v>
      </c>
      <c r="E2461" s="11">
        <v>1</v>
      </c>
      <c r="F2461" s="11">
        <v>2.25</v>
      </c>
      <c r="G2461" s="11" t="s">
        <v>6</v>
      </c>
      <c r="H2461" s="13">
        <v>-1000</v>
      </c>
      <c r="I2461" s="14">
        <f t="shared" si="90"/>
        <v>0.21992479999999956</v>
      </c>
      <c r="J2461" s="13">
        <f t="shared" si="91"/>
        <v>220616.18999999997</v>
      </c>
    </row>
    <row r="2462" spans="1:10" x14ac:dyDescent="0.25">
      <c r="A2462" s="10">
        <v>41225</v>
      </c>
      <c r="B2462" s="11" t="s">
        <v>2</v>
      </c>
      <c r="C2462" s="11" t="s">
        <v>10</v>
      </c>
      <c r="D2462" s="16" t="str">
        <f>HYPERLINK("https://freddywills.com/pick/2497/chiefs-18-5-over-34.html", "Chiefs +18.5/ Over 34")</f>
        <v>Chiefs +18.5/ Over 34</v>
      </c>
      <c r="E2462" s="11">
        <v>2.2000000000000002</v>
      </c>
      <c r="F2462" s="11">
        <v>-1.1000000000000001</v>
      </c>
      <c r="G2462" s="11" t="s">
        <v>6</v>
      </c>
      <c r="H2462" s="13">
        <v>-2200</v>
      </c>
      <c r="I2462" s="14">
        <f t="shared" si="90"/>
        <v>0.22992479999999957</v>
      </c>
      <c r="J2462" s="13">
        <f t="shared" si="91"/>
        <v>221616.18999999997</v>
      </c>
    </row>
    <row r="2463" spans="1:10" x14ac:dyDescent="0.25">
      <c r="A2463" s="10">
        <v>41224</v>
      </c>
      <c r="B2463" s="11" t="s">
        <v>2</v>
      </c>
      <c r="C2463" s="11" t="s">
        <v>5</v>
      </c>
      <c r="D2463" s="16" t="str">
        <f>HYPERLINK("https://freddywills.com/pick/2500/titans-6-5.html", "Titans +6.5")</f>
        <v>Titans +6.5</v>
      </c>
      <c r="E2463" s="11">
        <v>5.5</v>
      </c>
      <c r="F2463" s="11">
        <v>-1.1000000000000001</v>
      </c>
      <c r="G2463" s="11" t="s">
        <v>4</v>
      </c>
      <c r="H2463" s="13">
        <v>5000</v>
      </c>
      <c r="I2463" s="14">
        <f t="shared" si="90"/>
        <v>0.25192479999999956</v>
      </c>
      <c r="J2463" s="13">
        <f t="shared" si="91"/>
        <v>223816.18999999997</v>
      </c>
    </row>
    <row r="2464" spans="1:10" x14ac:dyDescent="0.25">
      <c r="A2464" s="10">
        <v>41224</v>
      </c>
      <c r="B2464" s="11" t="s">
        <v>2</v>
      </c>
      <c r="C2464" s="11" t="s">
        <v>5</v>
      </c>
      <c r="D2464" s="16" t="str">
        <f>HYPERLINK("https://freddywills.com/pick/2501/panthers-4-5.html", "Panthers +4.5")</f>
        <v>Panthers +4.5</v>
      </c>
      <c r="E2464" s="11">
        <v>3.3</v>
      </c>
      <c r="F2464" s="11">
        <v>-1.1000000000000001</v>
      </c>
      <c r="G2464" s="11" t="s">
        <v>6</v>
      </c>
      <c r="H2464" s="13">
        <v>-3300</v>
      </c>
      <c r="I2464" s="14">
        <f t="shared" si="90"/>
        <v>0.20192479999999957</v>
      </c>
      <c r="J2464" s="13">
        <f t="shared" si="91"/>
        <v>218816.18999999997</v>
      </c>
    </row>
    <row r="2465" spans="1:10" x14ac:dyDescent="0.25">
      <c r="A2465" s="10">
        <v>41224</v>
      </c>
      <c r="B2465" s="11" t="s">
        <v>2</v>
      </c>
      <c r="C2465" s="11" t="s">
        <v>18</v>
      </c>
      <c r="D2465" s="16" t="str">
        <f>HYPERLINK("https://freddywills.com/pick/2502/chargers-155.html", "Chargers +155")</f>
        <v>Chargers +155</v>
      </c>
      <c r="E2465" s="11">
        <v>2</v>
      </c>
      <c r="F2465" s="11">
        <v>1.55</v>
      </c>
      <c r="G2465" s="11" t="s">
        <v>6</v>
      </c>
      <c r="H2465" s="13">
        <v>-2000</v>
      </c>
      <c r="I2465" s="14">
        <f t="shared" si="90"/>
        <v>0.23492479999999957</v>
      </c>
      <c r="J2465" s="13">
        <f t="shared" si="91"/>
        <v>222116.18999999997</v>
      </c>
    </row>
    <row r="2466" spans="1:10" x14ac:dyDescent="0.25">
      <c r="A2466" s="10">
        <v>41224</v>
      </c>
      <c r="B2466" s="11" t="s">
        <v>2</v>
      </c>
      <c r="C2466" s="11" t="s">
        <v>7</v>
      </c>
      <c r="D2466" s="16" t="str">
        <f>HYPERLINK("https://freddywills.com/pick/2503/steelers-chiefs-over-40.html", "Steelers/Chiefs Over 40")</f>
        <v>Steelers/Chiefs Over 40</v>
      </c>
      <c r="E2466" s="11">
        <v>4.4000000000000004</v>
      </c>
      <c r="F2466" s="11">
        <v>-1.1000000000000001</v>
      </c>
      <c r="G2466" s="11" t="s">
        <v>6</v>
      </c>
      <c r="H2466" s="13">
        <v>-4400</v>
      </c>
      <c r="I2466" s="14">
        <f t="shared" si="90"/>
        <v>0.25492479999999956</v>
      </c>
      <c r="J2466" s="13">
        <f t="shared" si="91"/>
        <v>224116.18999999997</v>
      </c>
    </row>
    <row r="2467" spans="1:10" x14ac:dyDescent="0.25">
      <c r="A2467" s="10">
        <v>41223</v>
      </c>
      <c r="B2467" s="11" t="s">
        <v>8</v>
      </c>
      <c r="C2467" s="11" t="s">
        <v>5</v>
      </c>
      <c r="D2467" s="16" t="str">
        <f>HYPERLINK("https://freddywills.com/pick/2504/tcu-7.html", "TCU +7")</f>
        <v>TCU +7</v>
      </c>
      <c r="E2467" s="11">
        <v>2.2000000000000002</v>
      </c>
      <c r="F2467" s="11">
        <v>-1.1000000000000001</v>
      </c>
      <c r="G2467" s="11" t="s">
        <v>6</v>
      </c>
      <c r="H2467" s="13">
        <v>-2200</v>
      </c>
      <c r="I2467" s="14">
        <f t="shared" si="90"/>
        <v>0.29892479999999955</v>
      </c>
      <c r="J2467" s="13">
        <f t="shared" si="91"/>
        <v>228516.18999999997</v>
      </c>
    </row>
    <row r="2468" spans="1:10" x14ac:dyDescent="0.25">
      <c r="A2468" s="10">
        <v>41223</v>
      </c>
      <c r="B2468" s="11" t="s">
        <v>8</v>
      </c>
      <c r="C2468" s="11" t="s">
        <v>18</v>
      </c>
      <c r="D2468" s="16" t="str">
        <f>HYPERLINK("https://freddywills.com/pick/2505/tcu-225.html", "TCU +225")</f>
        <v>TCU +225</v>
      </c>
      <c r="E2468" s="11">
        <v>1</v>
      </c>
      <c r="F2468" s="11">
        <v>2.25</v>
      </c>
      <c r="G2468" s="11" t="s">
        <v>6</v>
      </c>
      <c r="H2468" s="13">
        <v>-1000</v>
      </c>
      <c r="I2468" s="14">
        <f t="shared" si="90"/>
        <v>0.32092479999999957</v>
      </c>
      <c r="J2468" s="13">
        <f t="shared" si="91"/>
        <v>230716.18999999997</v>
      </c>
    </row>
    <row r="2469" spans="1:10" x14ac:dyDescent="0.25">
      <c r="A2469" s="10">
        <v>41223</v>
      </c>
      <c r="B2469" s="11" t="s">
        <v>8</v>
      </c>
      <c r="C2469" s="11" t="s">
        <v>5</v>
      </c>
      <c r="D2469" s="16" t="str">
        <f>HYPERLINK("https://freddywills.com/pick/2506/oreg-st-4-5.html", "Oreg St +4.5")</f>
        <v>Oreg St +4.5</v>
      </c>
      <c r="E2469" s="11">
        <v>2.2000000000000002</v>
      </c>
      <c r="F2469" s="11">
        <v>-1.1000000000000001</v>
      </c>
      <c r="G2469" s="11" t="s">
        <v>4</v>
      </c>
      <c r="H2469" s="13">
        <v>2000</v>
      </c>
      <c r="I2469" s="14">
        <f t="shared" si="90"/>
        <v>0.33092479999999957</v>
      </c>
      <c r="J2469" s="13">
        <f t="shared" si="91"/>
        <v>231716.18999999997</v>
      </c>
    </row>
    <row r="2470" spans="1:10" x14ac:dyDescent="0.25">
      <c r="A2470" s="10">
        <v>41223</v>
      </c>
      <c r="B2470" s="11" t="s">
        <v>8</v>
      </c>
      <c r="C2470" s="11" t="s">
        <v>5</v>
      </c>
      <c r="D2470" s="16" t="str">
        <f>HYPERLINK("https://freddywills.com/pick/2507/arizona-st-9.html", "Arizona St +9")</f>
        <v>Arizona St +9</v>
      </c>
      <c r="E2470" s="11">
        <v>3.3</v>
      </c>
      <c r="F2470" s="11">
        <v>-1.1000000000000001</v>
      </c>
      <c r="G2470" s="11" t="s">
        <v>6</v>
      </c>
      <c r="H2470" s="13">
        <v>-3300</v>
      </c>
      <c r="I2470" s="14">
        <f t="shared" si="90"/>
        <v>0.31092479999999956</v>
      </c>
      <c r="J2470" s="13">
        <f t="shared" si="91"/>
        <v>229716.18999999997</v>
      </c>
    </row>
    <row r="2471" spans="1:10" x14ac:dyDescent="0.25">
      <c r="A2471" s="10">
        <v>41223</v>
      </c>
      <c r="B2471" s="11" t="s">
        <v>8</v>
      </c>
      <c r="C2471" s="11" t="s">
        <v>5</v>
      </c>
      <c r="D2471" s="16" t="str">
        <f>HYPERLINK("https://freddywills.com/pick/2508/syracuse-2.html", "Syracuse +2")</f>
        <v>Syracuse +2</v>
      </c>
      <c r="E2471" s="11">
        <v>5.5</v>
      </c>
      <c r="F2471" s="11">
        <v>-1.1000000000000001</v>
      </c>
      <c r="G2471" s="11" t="s">
        <v>4</v>
      </c>
      <c r="H2471" s="13">
        <v>5000</v>
      </c>
      <c r="I2471" s="14">
        <f t="shared" si="90"/>
        <v>0.34392479999999953</v>
      </c>
      <c r="J2471" s="13">
        <f t="shared" si="91"/>
        <v>233016.18999999997</v>
      </c>
    </row>
    <row r="2472" spans="1:10" x14ac:dyDescent="0.25">
      <c r="A2472" s="10">
        <v>41223</v>
      </c>
      <c r="B2472" s="11" t="s">
        <v>8</v>
      </c>
      <c r="C2472" s="11" t="s">
        <v>18</v>
      </c>
      <c r="D2472" s="16" t="str">
        <f>HYPERLINK("https://freddywills.com/pick/2509/virginia-115.html", "Virginia -115")</f>
        <v>Virginia -115</v>
      </c>
      <c r="E2472" s="11">
        <v>4.5</v>
      </c>
      <c r="F2472" s="11">
        <v>-1.1499999999999999</v>
      </c>
      <c r="G2472" s="11" t="s">
        <v>4</v>
      </c>
      <c r="H2472" s="13">
        <v>3913.04</v>
      </c>
      <c r="I2472" s="14">
        <f t="shared" si="90"/>
        <v>0.29392479999999954</v>
      </c>
      <c r="J2472" s="13">
        <f t="shared" si="91"/>
        <v>228016.18999999997</v>
      </c>
    </row>
    <row r="2473" spans="1:10" x14ac:dyDescent="0.25">
      <c r="A2473" s="10">
        <v>41223</v>
      </c>
      <c r="B2473" s="11" t="s">
        <v>8</v>
      </c>
      <c r="C2473" s="11" t="s">
        <v>5</v>
      </c>
      <c r="D2473" s="16" t="str">
        <f>HYPERLINK("https://freddywills.com/pick/2510/temple-9-5.html", "Temple +9.5")</f>
        <v>Temple +9.5</v>
      </c>
      <c r="E2473" s="11">
        <v>2.2000000000000002</v>
      </c>
      <c r="F2473" s="11">
        <v>-1.1000000000000001</v>
      </c>
      <c r="G2473" s="11" t="s">
        <v>6</v>
      </c>
      <c r="H2473" s="13">
        <v>-2200</v>
      </c>
      <c r="I2473" s="14">
        <f t="shared" si="90"/>
        <v>0.25479439999999953</v>
      </c>
      <c r="J2473" s="13">
        <f t="shared" si="91"/>
        <v>224103.14999999997</v>
      </c>
    </row>
    <row r="2474" spans="1:10" x14ac:dyDescent="0.25">
      <c r="A2474" s="10">
        <v>41223</v>
      </c>
      <c r="B2474" s="11" t="s">
        <v>8</v>
      </c>
      <c r="C2474" s="11" t="s">
        <v>5</v>
      </c>
      <c r="D2474" s="16" t="str">
        <f>HYPERLINK("https://freddywills.com/pick/2511/miss-3.html", "Miss -3")</f>
        <v>Miss -3</v>
      </c>
      <c r="E2474" s="11">
        <v>3.3</v>
      </c>
      <c r="F2474" s="11">
        <v>-1.1000000000000001</v>
      </c>
      <c r="G2474" s="11" t="s">
        <v>6</v>
      </c>
      <c r="H2474" s="13">
        <v>-3300</v>
      </c>
      <c r="I2474" s="14">
        <f t="shared" si="90"/>
        <v>0.27679439999999955</v>
      </c>
      <c r="J2474" s="13">
        <f t="shared" si="91"/>
        <v>226303.14999999997</v>
      </c>
    </row>
    <row r="2475" spans="1:10" x14ac:dyDescent="0.25">
      <c r="A2475" s="10">
        <v>41222</v>
      </c>
      <c r="B2475" s="11" t="s">
        <v>8</v>
      </c>
      <c r="C2475" s="11" t="s">
        <v>5</v>
      </c>
      <c r="D2475" s="16" t="str">
        <f>HYPERLINK("https://freddywills.com/pick/2515/uconn-3-5.html", "UCONN +3.5")</f>
        <v>UCONN +3.5</v>
      </c>
      <c r="E2475" s="11">
        <v>3.3</v>
      </c>
      <c r="F2475" s="11">
        <v>-1.1000000000000001</v>
      </c>
      <c r="G2475" s="11" t="s">
        <v>4</v>
      </c>
      <c r="H2475" s="13">
        <v>3000</v>
      </c>
      <c r="I2475" s="14">
        <f t="shared" si="90"/>
        <v>0.30979439999999958</v>
      </c>
      <c r="J2475" s="13">
        <f t="shared" si="91"/>
        <v>229603.14999999997</v>
      </c>
    </row>
    <row r="2476" spans="1:10" x14ac:dyDescent="0.25">
      <c r="A2476" s="10">
        <v>41221</v>
      </c>
      <c r="B2476" s="11" t="s">
        <v>8</v>
      </c>
      <c r="C2476" s="11" t="s">
        <v>5</v>
      </c>
      <c r="D2476" s="16" t="str">
        <f>HYPERLINK("https://freddywills.com/pick/2516/ohio-2-5.html", "Ohio -2.5")</f>
        <v>Ohio -2.5</v>
      </c>
      <c r="E2476" s="11">
        <v>3.3</v>
      </c>
      <c r="F2476" s="11">
        <v>-1.1000000000000001</v>
      </c>
      <c r="G2476" s="11" t="s">
        <v>6</v>
      </c>
      <c r="H2476" s="13">
        <v>-3300</v>
      </c>
      <c r="I2476" s="14">
        <f t="shared" si="90"/>
        <v>0.27979439999999955</v>
      </c>
      <c r="J2476" s="13">
        <f t="shared" si="91"/>
        <v>226603.14999999997</v>
      </c>
    </row>
    <row r="2477" spans="1:10" x14ac:dyDescent="0.25">
      <c r="A2477" s="10">
        <v>41221</v>
      </c>
      <c r="B2477" s="11" t="s">
        <v>2</v>
      </c>
      <c r="C2477" s="11" t="s">
        <v>5</v>
      </c>
      <c r="D2477" s="16" t="str">
        <f>HYPERLINK("https://freddywills.com/pick/2519/jaguars-3-5.html", "Jaguars +3.5")</f>
        <v>Jaguars +3.5</v>
      </c>
      <c r="E2477" s="11">
        <v>4.4000000000000004</v>
      </c>
      <c r="F2477" s="11">
        <v>-1.1000000000000001</v>
      </c>
      <c r="G2477" s="11" t="s">
        <v>6</v>
      </c>
      <c r="H2477" s="13">
        <v>-4400</v>
      </c>
      <c r="I2477" s="14">
        <f t="shared" si="90"/>
        <v>0.31279439999999953</v>
      </c>
      <c r="J2477" s="13">
        <f t="shared" si="91"/>
        <v>229903.14999999997</v>
      </c>
    </row>
    <row r="2478" spans="1:10" x14ac:dyDescent="0.25">
      <c r="A2478" s="10">
        <v>41221</v>
      </c>
      <c r="B2478" s="11" t="s">
        <v>8</v>
      </c>
      <c r="C2478" s="11" t="s">
        <v>5</v>
      </c>
      <c r="D2478" s="16" t="str">
        <f>HYPERLINK("https://freddywills.com/pick/2520/arkansas-st-7.html", "Arkansas St -7")</f>
        <v>Arkansas St -7</v>
      </c>
      <c r="E2478" s="11">
        <v>2.2000000000000002</v>
      </c>
      <c r="F2478" s="11">
        <v>-1.1000000000000001</v>
      </c>
      <c r="G2478" s="11" t="s">
        <v>4</v>
      </c>
      <c r="H2478" s="13">
        <v>2000</v>
      </c>
      <c r="I2478" s="14">
        <f t="shared" si="90"/>
        <v>0.35679439999999951</v>
      </c>
      <c r="J2478" s="13">
        <f t="shared" si="91"/>
        <v>234303.14999999997</v>
      </c>
    </row>
    <row r="2479" spans="1:10" x14ac:dyDescent="0.25">
      <c r="A2479" s="10">
        <v>41221</v>
      </c>
      <c r="B2479" s="11" t="s">
        <v>8</v>
      </c>
      <c r="C2479" s="11" t="s">
        <v>5</v>
      </c>
      <c r="D2479" s="16" t="str">
        <f>HYPERLINK("https://freddywills.com/pick/2521/vtech-14.html", "Vtech +14")</f>
        <v>Vtech +14</v>
      </c>
      <c r="E2479" s="11">
        <v>4.4000000000000004</v>
      </c>
      <c r="F2479" s="11">
        <v>-1.1000000000000001</v>
      </c>
      <c r="G2479" s="11" t="s">
        <v>4</v>
      </c>
      <c r="H2479" s="13">
        <v>4000</v>
      </c>
      <c r="I2479" s="14">
        <f t="shared" si="90"/>
        <v>0.33679439999999949</v>
      </c>
      <c r="J2479" s="13">
        <f t="shared" si="91"/>
        <v>232303.14999999997</v>
      </c>
    </row>
    <row r="2480" spans="1:10" x14ac:dyDescent="0.25">
      <c r="A2480" s="10">
        <v>41221</v>
      </c>
      <c r="B2480" s="11" t="s">
        <v>8</v>
      </c>
      <c r="C2480" s="11" t="s">
        <v>18</v>
      </c>
      <c r="D2480" s="16" t="str">
        <f>HYPERLINK("https://freddywills.com/pick/2522/vtech-455.html", "Vtech +455")</f>
        <v>Vtech +455</v>
      </c>
      <c r="E2480" s="11">
        <v>1.5</v>
      </c>
      <c r="F2480" s="11">
        <v>4.55</v>
      </c>
      <c r="G2480" s="11" t="s">
        <v>6</v>
      </c>
      <c r="H2480" s="13">
        <v>-1500</v>
      </c>
      <c r="I2480" s="14">
        <f t="shared" si="90"/>
        <v>0.29679439999999951</v>
      </c>
      <c r="J2480" s="13">
        <f t="shared" si="91"/>
        <v>228303.14999999997</v>
      </c>
    </row>
    <row r="2481" spans="1:10" x14ac:dyDescent="0.25">
      <c r="A2481" s="10">
        <v>41219</v>
      </c>
      <c r="B2481" s="11" t="s">
        <v>8</v>
      </c>
      <c r="C2481" s="11" t="s">
        <v>5</v>
      </c>
      <c r="D2481" s="16" t="str">
        <f>HYPERLINK("https://freddywills.com/pick/2523/ball-st-7-120.html", "Ball St +7 -120")</f>
        <v>Ball St +7 -120</v>
      </c>
      <c r="E2481" s="11">
        <v>3.5</v>
      </c>
      <c r="F2481" s="11">
        <v>-1.2</v>
      </c>
      <c r="G2481" s="11" t="s">
        <v>4</v>
      </c>
      <c r="H2481" s="13">
        <v>2916.67</v>
      </c>
      <c r="I2481" s="14">
        <f t="shared" si="90"/>
        <v>0.31179439999999953</v>
      </c>
      <c r="J2481" s="13">
        <f t="shared" si="91"/>
        <v>229803.14999999997</v>
      </c>
    </row>
    <row r="2482" spans="1:10" x14ac:dyDescent="0.25">
      <c r="A2482" s="10">
        <v>41218</v>
      </c>
      <c r="B2482" s="11" t="s">
        <v>2</v>
      </c>
      <c r="C2482" s="11" t="s">
        <v>5</v>
      </c>
      <c r="D2482" s="16" t="str">
        <f>HYPERLINK("https://freddywills.com/pick/2524/eagles-3.html", "Eagles +3")</f>
        <v>Eagles +3</v>
      </c>
      <c r="E2482" s="11">
        <v>4.4000000000000004</v>
      </c>
      <c r="F2482" s="11">
        <v>-1.1000000000000001</v>
      </c>
      <c r="G2482" s="11" t="s">
        <v>6</v>
      </c>
      <c r="H2482" s="13">
        <v>-4400</v>
      </c>
      <c r="I2482" s="14">
        <f t="shared" si="90"/>
        <v>0.28262769999999954</v>
      </c>
      <c r="J2482" s="13">
        <f t="shared" si="91"/>
        <v>226886.47999999995</v>
      </c>
    </row>
    <row r="2483" spans="1:10" x14ac:dyDescent="0.25">
      <c r="A2483" s="10">
        <v>41217</v>
      </c>
      <c r="B2483" s="11" t="s">
        <v>2</v>
      </c>
      <c r="C2483" s="11" t="s">
        <v>5</v>
      </c>
      <c r="D2483" s="16" t="str">
        <f>HYPERLINK("https://freddywills.com/pick/2528/browns-4.html", "Browns+4")</f>
        <v>Browns+4</v>
      </c>
      <c r="E2483" s="11">
        <v>2.2000000000000002</v>
      </c>
      <c r="F2483" s="11">
        <v>-1.1000000000000001</v>
      </c>
      <c r="G2483" s="11" t="s">
        <v>6</v>
      </c>
      <c r="H2483" s="13">
        <v>-2200</v>
      </c>
      <c r="I2483" s="14">
        <f t="shared" si="90"/>
        <v>0.32662769999999952</v>
      </c>
      <c r="J2483" s="13">
        <f t="shared" si="91"/>
        <v>231286.47999999995</v>
      </c>
    </row>
    <row r="2484" spans="1:10" x14ac:dyDescent="0.25">
      <c r="A2484" s="10">
        <v>41217</v>
      </c>
      <c r="B2484" s="11" t="s">
        <v>2</v>
      </c>
      <c r="C2484" s="11" t="s">
        <v>5</v>
      </c>
      <c r="D2484" s="16" t="str">
        <f>HYPERLINK("https://freddywills.com/pick/2529/jaguars-6.html", "Jaguars +6")</f>
        <v>Jaguars +6</v>
      </c>
      <c r="E2484" s="11">
        <v>3.3</v>
      </c>
      <c r="F2484" s="11">
        <v>-1.1000000000000001</v>
      </c>
      <c r="G2484" s="11" t="s">
        <v>6</v>
      </c>
      <c r="H2484" s="13">
        <v>-3300</v>
      </c>
      <c r="I2484" s="14">
        <f t="shared" si="90"/>
        <v>0.34862769999999954</v>
      </c>
      <c r="J2484" s="13">
        <f t="shared" si="91"/>
        <v>233486.47999999995</v>
      </c>
    </row>
    <row r="2485" spans="1:10" x14ac:dyDescent="0.25">
      <c r="A2485" s="10">
        <v>41217</v>
      </c>
      <c r="B2485" s="11" t="s">
        <v>2</v>
      </c>
      <c r="C2485" s="11" t="s">
        <v>18</v>
      </c>
      <c r="D2485" s="16" t="str">
        <f>HYPERLINK("https://freddywills.com/pick/2530/jaguars-225.html", "Jaguars +225")</f>
        <v>Jaguars +225</v>
      </c>
      <c r="E2485" s="11">
        <v>1</v>
      </c>
      <c r="F2485" s="11">
        <v>2.25</v>
      </c>
      <c r="G2485" s="11" t="s">
        <v>6</v>
      </c>
      <c r="H2485" s="13">
        <v>-1000</v>
      </c>
      <c r="I2485" s="14">
        <f t="shared" si="90"/>
        <v>0.38162769999999957</v>
      </c>
      <c r="J2485" s="13">
        <f t="shared" si="91"/>
        <v>236786.47999999995</v>
      </c>
    </row>
    <row r="2486" spans="1:10" x14ac:dyDescent="0.25">
      <c r="A2486" s="10">
        <v>41217</v>
      </c>
      <c r="B2486" s="11" t="s">
        <v>2</v>
      </c>
      <c r="C2486" s="11" t="s">
        <v>5</v>
      </c>
      <c r="D2486" s="16" t="str">
        <f>HYPERLINK("https://freddywills.com/pick/2531/cowboys-4.html", "Cowboys +4")</f>
        <v>Cowboys +4</v>
      </c>
      <c r="E2486" s="11">
        <v>4.4000000000000004</v>
      </c>
      <c r="F2486" s="11">
        <v>-1.1000000000000001</v>
      </c>
      <c r="G2486" s="11" t="s">
        <v>6</v>
      </c>
      <c r="H2486" s="13">
        <v>-4400</v>
      </c>
      <c r="I2486" s="14">
        <f t="shared" si="90"/>
        <v>0.39162769999999958</v>
      </c>
      <c r="J2486" s="13">
        <f t="shared" si="91"/>
        <v>237786.47999999995</v>
      </c>
    </row>
    <row r="2487" spans="1:10" x14ac:dyDescent="0.25">
      <c r="A2487" s="10">
        <v>41217</v>
      </c>
      <c r="B2487" s="11" t="s">
        <v>2</v>
      </c>
      <c r="C2487" s="11" t="s">
        <v>18</v>
      </c>
      <c r="D2487" s="16" t="str">
        <f>HYPERLINK("https://freddywills.com/pick/2532/cowboys-175.html", "Cowboys +175")</f>
        <v>Cowboys +175</v>
      </c>
      <c r="E2487" s="11">
        <v>2</v>
      </c>
      <c r="F2487" s="11">
        <v>1.75</v>
      </c>
      <c r="G2487" s="11" t="s">
        <v>6</v>
      </c>
      <c r="H2487" s="13">
        <v>-2000</v>
      </c>
      <c r="I2487" s="14">
        <f t="shared" si="90"/>
        <v>0.43562769999999956</v>
      </c>
      <c r="J2487" s="13">
        <f t="shared" si="91"/>
        <v>242186.47999999995</v>
      </c>
    </row>
    <row r="2488" spans="1:10" x14ac:dyDescent="0.25">
      <c r="A2488" s="10">
        <v>41217</v>
      </c>
      <c r="B2488" s="11" t="s">
        <v>2</v>
      </c>
      <c r="C2488" s="11" t="s">
        <v>5</v>
      </c>
      <c r="D2488" s="16" t="str">
        <f>HYPERLINK("https://freddywills.com/pick/2533/raiders-1.html", "Raiders -1")</f>
        <v>Raiders -1</v>
      </c>
      <c r="E2488" s="11">
        <v>5.5</v>
      </c>
      <c r="F2488" s="11">
        <v>-1.1000000000000001</v>
      </c>
      <c r="G2488" s="11" t="s">
        <v>6</v>
      </c>
      <c r="H2488" s="13">
        <v>-5500</v>
      </c>
      <c r="I2488" s="14">
        <f t="shared" si="90"/>
        <v>0.45562769999999958</v>
      </c>
      <c r="J2488" s="13">
        <f t="shared" si="91"/>
        <v>244186.47999999995</v>
      </c>
    </row>
    <row r="2489" spans="1:10" x14ac:dyDescent="0.25">
      <c r="A2489" s="10">
        <v>41216</v>
      </c>
      <c r="B2489" s="11" t="s">
        <v>8</v>
      </c>
      <c r="C2489" s="11" t="s">
        <v>5</v>
      </c>
      <c r="D2489" s="16" t="str">
        <f>HYPERLINK("https://freddywills.com/pick/2535/lsu-9.html", "LSU +9")</f>
        <v>LSU +9</v>
      </c>
      <c r="E2489" s="11">
        <v>5.5</v>
      </c>
      <c r="F2489" s="11">
        <v>-1.1000000000000001</v>
      </c>
      <c r="G2489" s="11" t="s">
        <v>4</v>
      </c>
      <c r="H2489" s="13">
        <v>5000</v>
      </c>
      <c r="I2489" s="14">
        <f t="shared" si="90"/>
        <v>0.51062769999999957</v>
      </c>
      <c r="J2489" s="13">
        <f t="shared" si="91"/>
        <v>249686.47999999995</v>
      </c>
    </row>
    <row r="2490" spans="1:10" x14ac:dyDescent="0.25">
      <c r="A2490" s="10">
        <v>41216</v>
      </c>
      <c r="B2490" s="11" t="s">
        <v>8</v>
      </c>
      <c r="C2490" s="11" t="s">
        <v>5</v>
      </c>
      <c r="D2490" s="16" t="str">
        <f>HYPERLINK("https://freddywills.com/pick/2536/usc-8-5.html", "USC +8.5")</f>
        <v>USC +8.5</v>
      </c>
      <c r="E2490" s="11">
        <v>4.4000000000000004</v>
      </c>
      <c r="F2490" s="11">
        <v>-1.1000000000000001</v>
      </c>
      <c r="G2490" s="11" t="s">
        <v>6</v>
      </c>
      <c r="H2490" s="13">
        <v>-4400</v>
      </c>
      <c r="I2490" s="14">
        <f t="shared" si="90"/>
        <v>0.46062769999999958</v>
      </c>
      <c r="J2490" s="13">
        <f t="shared" si="91"/>
        <v>244686.47999999995</v>
      </c>
    </row>
    <row r="2491" spans="1:10" x14ac:dyDescent="0.25">
      <c r="A2491" s="10">
        <v>41216</v>
      </c>
      <c r="B2491" s="11" t="s">
        <v>8</v>
      </c>
      <c r="C2491" s="11" t="s">
        <v>18</v>
      </c>
      <c r="D2491" s="16" t="str">
        <f>HYPERLINK("https://freddywills.com/pick/2537/usc-275.html", "USC +275")</f>
        <v>USC +275</v>
      </c>
      <c r="E2491" s="11">
        <v>1</v>
      </c>
      <c r="F2491" s="11">
        <v>2.75</v>
      </c>
      <c r="G2491" s="11" t="s">
        <v>6</v>
      </c>
      <c r="H2491" s="13">
        <v>-1000</v>
      </c>
      <c r="I2491" s="14">
        <f t="shared" si="90"/>
        <v>0.50462769999999957</v>
      </c>
      <c r="J2491" s="13">
        <f t="shared" si="91"/>
        <v>249086.47999999995</v>
      </c>
    </row>
    <row r="2492" spans="1:10" x14ac:dyDescent="0.25">
      <c r="A2492" s="10">
        <v>41216</v>
      </c>
      <c r="B2492" s="11" t="s">
        <v>8</v>
      </c>
      <c r="C2492" s="11" t="s">
        <v>5</v>
      </c>
      <c r="D2492" s="16" t="str">
        <f>HYPERLINK("https://freddywills.com/pick/2538/c-mich-3-wow.html", "C. Mich +3 (WOW)")</f>
        <v>C. Mich +3 (WOW)</v>
      </c>
      <c r="E2492" s="11">
        <v>2</v>
      </c>
      <c r="F2492" s="11">
        <v>-1.1000000000000001</v>
      </c>
      <c r="G2492" s="11" t="s">
        <v>6</v>
      </c>
      <c r="H2492" s="13">
        <v>-2000</v>
      </c>
      <c r="I2492" s="14">
        <f t="shared" si="90"/>
        <v>0.51462769999999958</v>
      </c>
      <c r="J2492" s="13">
        <f t="shared" si="91"/>
        <v>250086.47999999995</v>
      </c>
    </row>
    <row r="2493" spans="1:10" x14ac:dyDescent="0.25">
      <c r="A2493" s="10">
        <v>41216</v>
      </c>
      <c r="B2493" s="11" t="s">
        <v>8</v>
      </c>
      <c r="C2493" s="11" t="s">
        <v>5</v>
      </c>
      <c r="D2493" s="16" t="str">
        <f>HYPERLINK("https://freddywills.com/pick/2539/miss-st-7.html", "Miss St +7")</f>
        <v>Miss St +7</v>
      </c>
      <c r="E2493" s="11">
        <v>3.3</v>
      </c>
      <c r="F2493" s="11">
        <v>-1.1000000000000001</v>
      </c>
      <c r="G2493" s="11" t="s">
        <v>6</v>
      </c>
      <c r="H2493" s="13">
        <v>-3300</v>
      </c>
      <c r="I2493" s="14">
        <f t="shared" si="90"/>
        <v>0.53462769999999959</v>
      </c>
      <c r="J2493" s="13">
        <f t="shared" si="91"/>
        <v>252086.47999999995</v>
      </c>
    </row>
    <row r="2494" spans="1:10" x14ac:dyDescent="0.25">
      <c r="A2494" s="10">
        <v>41216</v>
      </c>
      <c r="B2494" s="11" t="s">
        <v>8</v>
      </c>
      <c r="C2494" s="11" t="s">
        <v>5</v>
      </c>
      <c r="D2494" s="16" t="str">
        <f>HYPERLINK("https://freddywills.com/pick/2540/wake-forest-2-5-120.html", "Wake Forest -2.5 -120")</f>
        <v>Wake Forest -2.5 -120</v>
      </c>
      <c r="E2494" s="11">
        <v>4</v>
      </c>
      <c r="F2494" s="11">
        <v>-1.2</v>
      </c>
      <c r="G2494" s="11" t="s">
        <v>4</v>
      </c>
      <c r="H2494" s="13">
        <v>3333.33</v>
      </c>
      <c r="I2494" s="14">
        <f t="shared" si="90"/>
        <v>0.56762769999999962</v>
      </c>
      <c r="J2494" s="13">
        <f t="shared" si="91"/>
        <v>255386.47999999995</v>
      </c>
    </row>
    <row r="2495" spans="1:10" x14ac:dyDescent="0.25">
      <c r="A2495" s="10">
        <v>41216</v>
      </c>
      <c r="B2495" s="11" t="s">
        <v>8</v>
      </c>
      <c r="C2495" s="11" t="s">
        <v>5</v>
      </c>
      <c r="D2495" s="16" t="str">
        <f>HYPERLINK("https://freddywills.com/pick/2541/virginia-10-5.html", "Virginia +10.5")</f>
        <v>Virginia +10.5</v>
      </c>
      <c r="E2495" s="11">
        <v>3.3</v>
      </c>
      <c r="F2495" s="11">
        <v>-1.1000000000000001</v>
      </c>
      <c r="G2495" s="11" t="s">
        <v>4</v>
      </c>
      <c r="H2495" s="13">
        <v>3000</v>
      </c>
      <c r="I2495" s="14">
        <f t="shared" si="90"/>
        <v>0.53429439999999961</v>
      </c>
      <c r="J2495" s="13">
        <f t="shared" si="91"/>
        <v>252053.14999999997</v>
      </c>
    </row>
    <row r="2496" spans="1:10" x14ac:dyDescent="0.25">
      <c r="A2496" s="10">
        <v>41216</v>
      </c>
      <c r="B2496" s="11" t="s">
        <v>8</v>
      </c>
      <c r="C2496" s="11" t="s">
        <v>18</v>
      </c>
      <c r="D2496" s="16" t="str">
        <f>HYPERLINK("https://freddywills.com/pick/2542/virginia-340.html", "Virginia +340")</f>
        <v>Virginia +340</v>
      </c>
      <c r="E2496" s="11">
        <v>0.5</v>
      </c>
      <c r="F2496" s="11">
        <v>3.4</v>
      </c>
      <c r="G2496" s="11" t="s">
        <v>4</v>
      </c>
      <c r="H2496" s="13">
        <v>1700</v>
      </c>
      <c r="I2496" s="14">
        <f t="shared" si="90"/>
        <v>0.50429439999999959</v>
      </c>
      <c r="J2496" s="13">
        <f t="shared" si="91"/>
        <v>249053.14999999997</v>
      </c>
    </row>
    <row r="2497" spans="1:10" x14ac:dyDescent="0.25">
      <c r="A2497" s="10">
        <v>41214</v>
      </c>
      <c r="B2497" s="11" t="s">
        <v>8</v>
      </c>
      <c r="C2497" s="11" t="s">
        <v>5</v>
      </c>
      <c r="D2497" s="16" t="str">
        <f>HYPERLINK("https://freddywills.com/pick/2543/vtech-1-wow.html", "Vtech -1 WOW")</f>
        <v>Vtech -1 WOW</v>
      </c>
      <c r="E2497" s="11">
        <v>4.4000000000000004</v>
      </c>
      <c r="F2497" s="11">
        <v>-1.1000000000000001</v>
      </c>
      <c r="G2497" s="11" t="s">
        <v>6</v>
      </c>
      <c r="H2497" s="13">
        <v>-4400</v>
      </c>
      <c r="I2497" s="14">
        <f t="shared" si="90"/>
        <v>0.48729439999999963</v>
      </c>
      <c r="J2497" s="13">
        <f t="shared" si="91"/>
        <v>247353.14999999997</v>
      </c>
    </row>
    <row r="2498" spans="1:10" x14ac:dyDescent="0.25">
      <c r="A2498" s="10">
        <v>41214</v>
      </c>
      <c r="B2498" s="11" t="s">
        <v>8</v>
      </c>
      <c r="C2498" s="11" t="s">
        <v>5</v>
      </c>
      <c r="D2498" s="16" t="str">
        <f>HYPERLINK("https://freddywills.com/pick/2544/mtsu-9.html", "MTSU +9")</f>
        <v>MTSU +9</v>
      </c>
      <c r="E2498" s="11">
        <v>2.2000000000000002</v>
      </c>
      <c r="F2498" s="11">
        <v>-1.1000000000000001</v>
      </c>
      <c r="G2498" s="11" t="s">
        <v>4</v>
      </c>
      <c r="H2498" s="13">
        <v>2000</v>
      </c>
      <c r="I2498" s="14">
        <f t="shared" si="90"/>
        <v>0.53129439999999961</v>
      </c>
      <c r="J2498" s="13">
        <f t="shared" si="91"/>
        <v>251753.14999999997</v>
      </c>
    </row>
    <row r="2499" spans="1:10" x14ac:dyDescent="0.25">
      <c r="A2499" s="10">
        <v>41214</v>
      </c>
      <c r="B2499" s="11" t="s">
        <v>2</v>
      </c>
      <c r="C2499" s="11" t="s">
        <v>10</v>
      </c>
      <c r="D2499" s="16" t="str">
        <f>HYPERLINK("https://freddywills.com/pick/2545/chargers-1-5-over-34-5.html", "Chargers -1.5 / Over 34.5")</f>
        <v>Chargers -1.5 / Over 34.5</v>
      </c>
      <c r="E2499" s="11">
        <v>3.3</v>
      </c>
      <c r="F2499" s="11">
        <v>-1.1000000000000001</v>
      </c>
      <c r="G2499" s="11" t="s">
        <v>4</v>
      </c>
      <c r="H2499" s="13">
        <v>3000</v>
      </c>
      <c r="I2499" s="14">
        <f t="shared" si="90"/>
        <v>0.51129439999999959</v>
      </c>
      <c r="J2499" s="13">
        <f t="shared" si="91"/>
        <v>249753.14999999997</v>
      </c>
    </row>
    <row r="2500" spans="1:10" x14ac:dyDescent="0.25">
      <c r="A2500" s="10">
        <v>41211</v>
      </c>
      <c r="B2500" s="11" t="s">
        <v>2</v>
      </c>
      <c r="C2500" s="11" t="s">
        <v>5</v>
      </c>
      <c r="D2500" s="16" t="str">
        <f>HYPERLINK("https://freddywills.com/pick/2546/cardinals-7-5-115.html", "Cardinals +7.5 -115")</f>
        <v>Cardinals +7.5 -115</v>
      </c>
      <c r="E2500" s="11">
        <v>5</v>
      </c>
      <c r="F2500" s="11">
        <v>-1.1499999999999999</v>
      </c>
      <c r="G2500" s="11" t="s">
        <v>6</v>
      </c>
      <c r="H2500" s="13">
        <v>-5000</v>
      </c>
      <c r="I2500" s="14">
        <f t="shared" si="90"/>
        <v>0.48129439999999962</v>
      </c>
      <c r="J2500" s="13">
        <f t="shared" si="91"/>
        <v>246753.14999999997</v>
      </c>
    </row>
    <row r="2501" spans="1:10" x14ac:dyDescent="0.25">
      <c r="A2501" s="10">
        <v>41211</v>
      </c>
      <c r="B2501" s="11" t="s">
        <v>2</v>
      </c>
      <c r="C2501" s="11" t="s">
        <v>10</v>
      </c>
      <c r="D2501" s="16" t="str">
        <f>HYPERLINK("https://freddywills.com/pick/2547/cardinals-14-u45.html", "Cardinals +14 / U45")</f>
        <v>Cardinals +14 / U45</v>
      </c>
      <c r="E2501" s="11">
        <v>2.5</v>
      </c>
      <c r="F2501" s="11">
        <v>-1.1000000000000001</v>
      </c>
      <c r="G2501" s="11" t="s">
        <v>6</v>
      </c>
      <c r="H2501" s="13">
        <v>-2500</v>
      </c>
      <c r="I2501" s="14">
        <f t="shared" si="90"/>
        <v>0.53129439999999961</v>
      </c>
      <c r="J2501" s="13">
        <f t="shared" si="91"/>
        <v>251753.14999999997</v>
      </c>
    </row>
    <row r="2502" spans="1:10" x14ac:dyDescent="0.25">
      <c r="A2502" s="10">
        <v>41210</v>
      </c>
      <c r="B2502" s="11" t="s">
        <v>2</v>
      </c>
      <c r="C2502" s="11" t="s">
        <v>5</v>
      </c>
      <c r="D2502" s="16" t="str">
        <f>HYPERLINK("https://freddywills.com/pick/2548/giants-1.html", "Giants -1")</f>
        <v>Giants -1</v>
      </c>
      <c r="E2502" s="11">
        <v>5.5</v>
      </c>
      <c r="F2502" s="11">
        <v>-1.1000000000000001</v>
      </c>
      <c r="G2502" s="11" t="s">
        <v>4</v>
      </c>
      <c r="H2502" s="13">
        <v>5000</v>
      </c>
      <c r="I2502" s="14">
        <f t="shared" si="90"/>
        <v>0.55629439999999963</v>
      </c>
      <c r="J2502" s="13">
        <f t="shared" si="91"/>
        <v>254253.14999999997</v>
      </c>
    </row>
    <row r="2503" spans="1:10" x14ac:dyDescent="0.25">
      <c r="A2503" s="10">
        <v>41210</v>
      </c>
      <c r="B2503" s="11" t="s">
        <v>2</v>
      </c>
      <c r="C2503" s="11" t="s">
        <v>5</v>
      </c>
      <c r="D2503" s="16" t="str">
        <f>HYPERLINK("https://freddywills.com/pick/2549/titans-3-120.html", "Titans -3 -120")</f>
        <v>Titans -3 -120</v>
      </c>
      <c r="E2503" s="11">
        <v>3</v>
      </c>
      <c r="F2503" s="11">
        <v>-1.2</v>
      </c>
      <c r="G2503" s="11" t="s">
        <v>6</v>
      </c>
      <c r="H2503" s="13">
        <v>-3000</v>
      </c>
      <c r="I2503" s="14">
        <f t="shared" si="90"/>
        <v>0.50629439999999959</v>
      </c>
      <c r="J2503" s="13">
        <f t="shared" si="91"/>
        <v>249253.14999999997</v>
      </c>
    </row>
    <row r="2504" spans="1:10" x14ac:dyDescent="0.25">
      <c r="A2504" s="10">
        <v>41210</v>
      </c>
      <c r="B2504" s="11" t="s">
        <v>2</v>
      </c>
      <c r="C2504" s="11" t="s">
        <v>5</v>
      </c>
      <c r="D2504" s="16" t="str">
        <f>HYPERLINK("https://freddywills.com/pick/2550/eagles-1.html", "Eagles -1")</f>
        <v>Eagles -1</v>
      </c>
      <c r="E2504" s="11">
        <v>4.4000000000000004</v>
      </c>
      <c r="F2504" s="11">
        <v>-1.1000000000000001</v>
      </c>
      <c r="G2504" s="11" t="s">
        <v>6</v>
      </c>
      <c r="H2504" s="13">
        <v>-4400</v>
      </c>
      <c r="I2504" s="14">
        <f t="shared" si="90"/>
        <v>0.53629439999999962</v>
      </c>
      <c r="J2504" s="13">
        <f t="shared" si="91"/>
        <v>252253.14999999997</v>
      </c>
    </row>
    <row r="2505" spans="1:10" x14ac:dyDescent="0.25">
      <c r="A2505" s="10">
        <v>41210</v>
      </c>
      <c r="B2505" s="11" t="s">
        <v>2</v>
      </c>
      <c r="C2505" s="11" t="s">
        <v>5</v>
      </c>
      <c r="D2505" s="16" t="str">
        <f>HYPERLINK("https://freddywills.com/pick/2551/panthers-9.html", "Panthers +9")</f>
        <v>Panthers +9</v>
      </c>
      <c r="E2505" s="11">
        <v>1.1000000000000001</v>
      </c>
      <c r="F2505" s="11">
        <v>-1.1000000000000001</v>
      </c>
      <c r="G2505" s="11" t="s">
        <v>4</v>
      </c>
      <c r="H2505" s="13">
        <v>1000</v>
      </c>
      <c r="I2505" s="14">
        <f t="shared" si="90"/>
        <v>0.58029439999999965</v>
      </c>
      <c r="J2505" s="13">
        <f t="shared" si="91"/>
        <v>256653.14999999997</v>
      </c>
    </row>
    <row r="2506" spans="1:10" x14ac:dyDescent="0.25">
      <c r="A2506" s="10">
        <v>41209</v>
      </c>
      <c r="B2506" s="11" t="s">
        <v>8</v>
      </c>
      <c r="C2506" s="11" t="s">
        <v>5</v>
      </c>
      <c r="D2506" s="16" t="str">
        <f>HYPERLINK("https://freddywills.com/pick/2552/tcu-7-5-wow.html", "TCU +7.5 WOW")</f>
        <v>TCU +7.5 WOW</v>
      </c>
      <c r="E2506" s="11">
        <v>5.5</v>
      </c>
      <c r="F2506" s="11">
        <v>-1.1000000000000001</v>
      </c>
      <c r="G2506" s="11" t="s">
        <v>6</v>
      </c>
      <c r="H2506" s="13">
        <v>-5500</v>
      </c>
      <c r="I2506" s="14">
        <f t="shared" si="90"/>
        <v>0.57029439999999965</v>
      </c>
      <c r="J2506" s="13">
        <f t="shared" si="91"/>
        <v>255653.14999999997</v>
      </c>
    </row>
    <row r="2507" spans="1:10" x14ac:dyDescent="0.25">
      <c r="A2507" s="10">
        <v>41209</v>
      </c>
      <c r="B2507" s="11" t="s">
        <v>8</v>
      </c>
      <c r="C2507" s="11" t="s">
        <v>5</v>
      </c>
      <c r="D2507" s="16" t="str">
        <f>HYPERLINK("https://freddywills.com/pick/2553/georgia-tech-2-5.html", "Georgia Tech -2.5")</f>
        <v>Georgia Tech -2.5</v>
      </c>
      <c r="E2507" s="11">
        <v>2.2000000000000002</v>
      </c>
      <c r="F2507" s="11">
        <v>-1.1000000000000001</v>
      </c>
      <c r="G2507" s="11" t="s">
        <v>6</v>
      </c>
      <c r="H2507" s="13">
        <v>-2200</v>
      </c>
      <c r="I2507" s="14">
        <f t="shared" si="90"/>
        <v>0.62529439999999969</v>
      </c>
      <c r="J2507" s="13">
        <f t="shared" si="91"/>
        <v>261153.14999999997</v>
      </c>
    </row>
    <row r="2508" spans="1:10" x14ac:dyDescent="0.25">
      <c r="A2508" s="10">
        <v>41209</v>
      </c>
      <c r="B2508" s="11" t="s">
        <v>8</v>
      </c>
      <c r="C2508" s="11" t="s">
        <v>5</v>
      </c>
      <c r="D2508" s="16" t="str">
        <f>HYPERLINK("https://freddywills.com/pick/2554/ilinois-1-5.html", "Ilinois -1.5")</f>
        <v>Ilinois -1.5</v>
      </c>
      <c r="E2508" s="11">
        <v>4.4000000000000004</v>
      </c>
      <c r="F2508" s="11">
        <v>-1.1000000000000001</v>
      </c>
      <c r="G2508" s="11" t="s">
        <v>6</v>
      </c>
      <c r="H2508" s="13">
        <v>-4400</v>
      </c>
      <c r="I2508" s="14">
        <f t="shared" si="90"/>
        <v>0.64729439999999971</v>
      </c>
      <c r="J2508" s="13">
        <f t="shared" si="91"/>
        <v>263353.14999999997</v>
      </c>
    </row>
    <row r="2509" spans="1:10" x14ac:dyDescent="0.25">
      <c r="A2509" s="10">
        <v>41209</v>
      </c>
      <c r="B2509" s="11" t="s">
        <v>8</v>
      </c>
      <c r="C2509" s="11" t="s">
        <v>5</v>
      </c>
      <c r="D2509" s="16" t="str">
        <f>HYPERLINK("https://freddywills.com/pick/2555/iowa-5-5.html", "Iowa +5.5")</f>
        <v>Iowa +5.5</v>
      </c>
      <c r="E2509" s="11">
        <v>3.3</v>
      </c>
      <c r="F2509" s="11">
        <v>-1.1000000000000001</v>
      </c>
      <c r="G2509" s="11" t="s">
        <v>6</v>
      </c>
      <c r="H2509" s="13">
        <v>-3300</v>
      </c>
      <c r="I2509" s="14">
        <f t="shared" si="90"/>
        <v>0.69129439999999975</v>
      </c>
      <c r="J2509" s="13">
        <f t="shared" si="91"/>
        <v>267753.14999999997</v>
      </c>
    </row>
    <row r="2510" spans="1:10" x14ac:dyDescent="0.25">
      <c r="A2510" s="10">
        <v>41209</v>
      </c>
      <c r="B2510" s="11" t="s">
        <v>8</v>
      </c>
      <c r="C2510" s="11" t="s">
        <v>5</v>
      </c>
      <c r="D2510" s="16" t="str">
        <f>HYPERLINK("https://freddywills.com/pick/2556/maryland-2.html", "Maryland +2")</f>
        <v>Maryland +2</v>
      </c>
      <c r="E2510" s="11">
        <v>3.3</v>
      </c>
      <c r="F2510" s="11">
        <v>-1.1000000000000001</v>
      </c>
      <c r="G2510" s="11" t="s">
        <v>6</v>
      </c>
      <c r="H2510" s="13">
        <v>-3300</v>
      </c>
      <c r="I2510" s="14">
        <f t="shared" si="90"/>
        <v>0.72429439999999978</v>
      </c>
      <c r="J2510" s="13">
        <f t="shared" si="91"/>
        <v>271053.14999999997</v>
      </c>
    </row>
    <row r="2511" spans="1:10" x14ac:dyDescent="0.25">
      <c r="A2511" s="10">
        <v>41209</v>
      </c>
      <c r="B2511" s="11" t="s">
        <v>8</v>
      </c>
      <c r="C2511" s="11" t="s">
        <v>18</v>
      </c>
      <c r="D2511" s="16" t="str">
        <f>HYPERLINK("https://freddywills.com/pick/2557/tcu-240.html", "TCU +240")</f>
        <v>TCU +240</v>
      </c>
      <c r="E2511" s="11">
        <v>1</v>
      </c>
      <c r="F2511" s="11">
        <v>2.4</v>
      </c>
      <c r="G2511" s="11" t="s">
        <v>6</v>
      </c>
      <c r="H2511" s="13">
        <v>-1000</v>
      </c>
      <c r="I2511" s="14">
        <f t="shared" ref="I2511:I2574" si="92">(H2511/100000)+I2512</f>
        <v>0.75729439999999981</v>
      </c>
      <c r="J2511" s="13">
        <f t="shared" ref="J2511:J2574" si="93">H2511+J2512</f>
        <v>274353.14999999997</v>
      </c>
    </row>
    <row r="2512" spans="1:10" x14ac:dyDescent="0.25">
      <c r="A2512" s="10">
        <v>41209</v>
      </c>
      <c r="B2512" s="11" t="s">
        <v>8</v>
      </c>
      <c r="C2512" s="11" t="s">
        <v>5</v>
      </c>
      <c r="D2512" s="16" t="str">
        <f>HYPERLINK("https://freddywills.com/pick/2558/tx-tech-7-5.html", "Tx Tech +7.5")</f>
        <v>Tx Tech +7.5</v>
      </c>
      <c r="E2512" s="11">
        <v>3.3</v>
      </c>
      <c r="F2512" s="11">
        <v>-1.1000000000000001</v>
      </c>
      <c r="G2512" s="11" t="s">
        <v>6</v>
      </c>
      <c r="H2512" s="13">
        <v>-3300</v>
      </c>
      <c r="I2512" s="14">
        <f t="shared" si="92"/>
        <v>0.76729439999999982</v>
      </c>
      <c r="J2512" s="13">
        <f t="shared" si="93"/>
        <v>275353.14999999997</v>
      </c>
    </row>
    <row r="2513" spans="1:10" x14ac:dyDescent="0.25">
      <c r="A2513" s="10">
        <v>41209</v>
      </c>
      <c r="B2513" s="11" t="s">
        <v>8</v>
      </c>
      <c r="C2513" s="11" t="s">
        <v>18</v>
      </c>
      <c r="D2513" s="16" t="str">
        <f>HYPERLINK("https://freddywills.com/pick/2559/tx-tech-250.html", "Tx Tech +250")</f>
        <v>Tx Tech +250</v>
      </c>
      <c r="E2513" s="11">
        <v>1</v>
      </c>
      <c r="F2513" s="11">
        <v>2.5</v>
      </c>
      <c r="G2513" s="11" t="s">
        <v>6</v>
      </c>
      <c r="H2513" s="13">
        <v>-1000</v>
      </c>
      <c r="I2513" s="14">
        <f t="shared" si="92"/>
        <v>0.80029439999999985</v>
      </c>
      <c r="J2513" s="13">
        <f t="shared" si="93"/>
        <v>278653.14999999997</v>
      </c>
    </row>
    <row r="2514" spans="1:10" x14ac:dyDescent="0.25">
      <c r="A2514" s="10">
        <v>41209</v>
      </c>
      <c r="B2514" s="11" t="s">
        <v>8</v>
      </c>
      <c r="C2514" s="11" t="s">
        <v>18</v>
      </c>
      <c r="D2514" s="16" t="str">
        <f>HYPERLINK("https://freddywills.com/pick/2560/michigan-103.html", "Michigan +103")</f>
        <v>Michigan +103</v>
      </c>
      <c r="E2514" s="11">
        <v>3</v>
      </c>
      <c r="F2514" s="11">
        <v>1.03</v>
      </c>
      <c r="G2514" s="11" t="s">
        <v>6</v>
      </c>
      <c r="H2514" s="13">
        <v>-3000</v>
      </c>
      <c r="I2514" s="14">
        <f t="shared" si="92"/>
        <v>0.81029439999999986</v>
      </c>
      <c r="J2514" s="13">
        <f t="shared" si="93"/>
        <v>279653.14999999997</v>
      </c>
    </row>
    <row r="2515" spans="1:10" x14ac:dyDescent="0.25">
      <c r="A2515" s="10">
        <v>41208</v>
      </c>
      <c r="B2515" s="11" t="s">
        <v>8</v>
      </c>
      <c r="C2515" s="11" t="s">
        <v>5</v>
      </c>
      <c r="D2515" s="16" t="str">
        <f>HYPERLINK("https://freddywills.com/pick/2561/louisville-3-120.html", "Louisville -3 -120")</f>
        <v>Louisville -3 -120</v>
      </c>
      <c r="E2515" s="11">
        <v>4.5</v>
      </c>
      <c r="F2515" s="11">
        <v>-1.1000000000000001</v>
      </c>
      <c r="G2515" s="11" t="s">
        <v>9</v>
      </c>
      <c r="H2515" s="13">
        <v>0</v>
      </c>
      <c r="I2515" s="14">
        <f t="shared" si="92"/>
        <v>0.84029439999999989</v>
      </c>
      <c r="J2515" s="13">
        <f t="shared" si="93"/>
        <v>282653.14999999997</v>
      </c>
    </row>
    <row r="2516" spans="1:10" x14ac:dyDescent="0.25">
      <c r="A2516" s="10">
        <v>41207</v>
      </c>
      <c r="B2516" s="11" t="s">
        <v>8</v>
      </c>
      <c r="C2516" s="11" t="s">
        <v>7</v>
      </c>
      <c r="D2516" s="16" t="str">
        <f>HYPERLINK("https://freddywills.com/pick/2562/clemson-wake-o58-5-wow.html", "Clemson/Wake O58.5 (WOW)")</f>
        <v>Clemson/Wake O58.5 (WOW)</v>
      </c>
      <c r="E2516" s="11">
        <v>3.3</v>
      </c>
      <c r="F2516" s="11">
        <v>-1.1000000000000001</v>
      </c>
      <c r="G2516" s="11" t="s">
        <v>6</v>
      </c>
      <c r="H2516" s="13">
        <v>-3300</v>
      </c>
      <c r="I2516" s="14">
        <f t="shared" si="92"/>
        <v>0.84029439999999989</v>
      </c>
      <c r="J2516" s="13">
        <f t="shared" si="93"/>
        <v>282653.14999999997</v>
      </c>
    </row>
    <row r="2517" spans="1:10" x14ac:dyDescent="0.25">
      <c r="A2517" s="10">
        <v>41207</v>
      </c>
      <c r="B2517" s="11" t="s">
        <v>2</v>
      </c>
      <c r="C2517" s="11" t="s">
        <v>18</v>
      </c>
      <c r="D2517" s="16" t="str">
        <f>HYPERLINK("https://freddywills.com/pick/2563/tb-bucs-210.html", "TB Bucs +210")</f>
        <v>TB Bucs +210</v>
      </c>
      <c r="E2517" s="11">
        <v>1</v>
      </c>
      <c r="F2517" s="11">
        <v>2.1</v>
      </c>
      <c r="G2517" s="11" t="s">
        <v>4</v>
      </c>
      <c r="H2517" s="13">
        <v>2100</v>
      </c>
      <c r="I2517" s="14">
        <f t="shared" si="92"/>
        <v>0.87329439999999992</v>
      </c>
      <c r="J2517" s="13">
        <f t="shared" si="93"/>
        <v>285953.14999999997</v>
      </c>
    </row>
    <row r="2518" spans="1:10" x14ac:dyDescent="0.25">
      <c r="A2518" s="10">
        <v>41207</v>
      </c>
      <c r="B2518" s="11" t="s">
        <v>2</v>
      </c>
      <c r="C2518" s="11" t="s">
        <v>7</v>
      </c>
      <c r="D2518" s="16" t="str">
        <f>HYPERLINK("https://freddywills.com/pick/2564/min-tb-u43-5.html", "MIN/TB U43.5")</f>
        <v>MIN/TB U43.5</v>
      </c>
      <c r="E2518" s="11">
        <v>4.4000000000000004</v>
      </c>
      <c r="F2518" s="11">
        <v>-1.1000000000000001</v>
      </c>
      <c r="G2518" s="11" t="s">
        <v>6</v>
      </c>
      <c r="H2518" s="13">
        <v>-4400</v>
      </c>
      <c r="I2518" s="14">
        <f t="shared" si="92"/>
        <v>0.8522943999999999</v>
      </c>
      <c r="J2518" s="13">
        <f t="shared" si="93"/>
        <v>283853.14999999997</v>
      </c>
    </row>
    <row r="2519" spans="1:10" x14ac:dyDescent="0.25">
      <c r="A2519" s="10">
        <v>41207</v>
      </c>
      <c r="B2519" s="11" t="s">
        <v>2</v>
      </c>
      <c r="C2519" s="11" t="s">
        <v>10</v>
      </c>
      <c r="D2519" s="16" t="str">
        <f>HYPERLINK("https://freddywills.com/pick/2565/tb-11-5-u49-5.html", "TB +11.5 U49.5")</f>
        <v>TB +11.5 U49.5</v>
      </c>
      <c r="E2519" s="11">
        <v>2.2000000000000002</v>
      </c>
      <c r="F2519" s="11">
        <v>-1.1000000000000001</v>
      </c>
      <c r="G2519" s="11" t="s">
        <v>6</v>
      </c>
      <c r="H2519" s="13">
        <v>-2200</v>
      </c>
      <c r="I2519" s="14">
        <f t="shared" si="92"/>
        <v>0.89629439999999994</v>
      </c>
      <c r="J2519" s="13">
        <f t="shared" si="93"/>
        <v>288253.14999999997</v>
      </c>
    </row>
    <row r="2520" spans="1:10" x14ac:dyDescent="0.25">
      <c r="A2520" s="10">
        <v>41205</v>
      </c>
      <c r="B2520" s="11" t="s">
        <v>8</v>
      </c>
      <c r="C2520" s="11" t="s">
        <v>5</v>
      </c>
      <c r="D2520" s="16" t="str">
        <f>HYPERLINK("https://freddywills.com/pick/2566/arkansas-st-4-5.html", "Arkansas St +4.5")</f>
        <v>Arkansas St +4.5</v>
      </c>
      <c r="E2520" s="11">
        <v>4.4000000000000004</v>
      </c>
      <c r="F2520" s="11">
        <v>-1.1000000000000001</v>
      </c>
      <c r="G2520" s="11" t="s">
        <v>4</v>
      </c>
      <c r="H2520" s="13">
        <v>4000</v>
      </c>
      <c r="I2520" s="14">
        <f t="shared" si="92"/>
        <v>0.91829439999999996</v>
      </c>
      <c r="J2520" s="13">
        <f t="shared" si="93"/>
        <v>290453.14999999997</v>
      </c>
    </row>
    <row r="2521" spans="1:10" x14ac:dyDescent="0.25">
      <c r="A2521" s="10">
        <v>41204</v>
      </c>
      <c r="B2521" s="11" t="s">
        <v>2</v>
      </c>
      <c r="C2521" s="11" t="s">
        <v>7</v>
      </c>
      <c r="D2521" s="16" t="str">
        <f>HYPERLINK("https://freddywills.com/pick/2567/lions-bears-u47.html", "Lions/Bears U47")</f>
        <v>Lions/Bears U47</v>
      </c>
      <c r="E2521" s="11">
        <v>5.5</v>
      </c>
      <c r="F2521" s="11">
        <v>-1.1000000000000001</v>
      </c>
      <c r="G2521" s="11" t="s">
        <v>4</v>
      </c>
      <c r="H2521" s="13">
        <v>5000</v>
      </c>
      <c r="I2521" s="14">
        <f t="shared" si="92"/>
        <v>0.87829439999999992</v>
      </c>
      <c r="J2521" s="13">
        <f t="shared" si="93"/>
        <v>286453.14999999997</v>
      </c>
    </row>
    <row r="2522" spans="1:10" x14ac:dyDescent="0.25">
      <c r="A2522" s="10">
        <v>41204</v>
      </c>
      <c r="B2522" s="11" t="s">
        <v>2</v>
      </c>
      <c r="C2522" s="11" t="s">
        <v>10</v>
      </c>
      <c r="D2522" s="16" t="str">
        <f>HYPERLINK("https://freddywills.com/pick/2568/bears-0-5-u53.html", "Bears -0.5 / U53")</f>
        <v>Bears -0.5 / U53</v>
      </c>
      <c r="E2522" s="11">
        <v>3</v>
      </c>
      <c r="F2522" s="11">
        <v>-1.1000000000000001</v>
      </c>
      <c r="G2522" s="11" t="s">
        <v>4</v>
      </c>
      <c r="H2522" s="13">
        <v>2727.27</v>
      </c>
      <c r="I2522" s="14">
        <f t="shared" si="92"/>
        <v>0.82829439999999988</v>
      </c>
      <c r="J2522" s="13">
        <f t="shared" si="93"/>
        <v>281453.14999999997</v>
      </c>
    </row>
    <row r="2523" spans="1:10" x14ac:dyDescent="0.25">
      <c r="A2523" s="10">
        <v>41203</v>
      </c>
      <c r="B2523" s="11" t="s">
        <v>2</v>
      </c>
      <c r="C2523" s="11" t="s">
        <v>5</v>
      </c>
      <c r="D2523" s="16" t="str">
        <f>HYPERLINK("https://freddywills.com/pick/2570/cowboys-1.html", "Cowboys -1")</f>
        <v>Cowboys -1</v>
      </c>
      <c r="E2523" s="11">
        <v>2.2000000000000002</v>
      </c>
      <c r="F2523" s="11">
        <v>-1.1000000000000001</v>
      </c>
      <c r="G2523" s="11" t="s">
        <v>4</v>
      </c>
      <c r="H2523" s="13">
        <v>2000</v>
      </c>
      <c r="I2523" s="14">
        <f t="shared" si="92"/>
        <v>0.80102169999999984</v>
      </c>
      <c r="J2523" s="13">
        <f t="shared" si="93"/>
        <v>278725.87999999995</v>
      </c>
    </row>
    <row r="2524" spans="1:10" x14ac:dyDescent="0.25">
      <c r="A2524" s="10">
        <v>41203</v>
      </c>
      <c r="B2524" s="11" t="s">
        <v>2</v>
      </c>
      <c r="C2524" s="11" t="s">
        <v>5</v>
      </c>
      <c r="D2524" s="16" t="str">
        <f>HYPERLINK("https://freddywills.com/pick/2571/browns-2.html", "Browns +2")</f>
        <v>Browns +2</v>
      </c>
      <c r="E2524" s="11">
        <v>4.4000000000000004</v>
      </c>
      <c r="F2524" s="11">
        <v>-1.1000000000000001</v>
      </c>
      <c r="G2524" s="11" t="s">
        <v>6</v>
      </c>
      <c r="H2524" s="13">
        <v>-4400</v>
      </c>
      <c r="I2524" s="14">
        <f t="shared" si="92"/>
        <v>0.78102169999999982</v>
      </c>
      <c r="J2524" s="13">
        <f t="shared" si="93"/>
        <v>276725.87999999995</v>
      </c>
    </row>
    <row r="2525" spans="1:10" x14ac:dyDescent="0.25">
      <c r="A2525" s="10">
        <v>41203</v>
      </c>
      <c r="B2525" s="11" t="s">
        <v>2</v>
      </c>
      <c r="C2525" s="11" t="s">
        <v>5</v>
      </c>
      <c r="D2525" s="16" t="str">
        <f>HYPERLINK("https://freddywills.com/pick/2572/bucs-2.html", "Bucs +2")</f>
        <v>Bucs +2</v>
      </c>
      <c r="E2525" s="11">
        <v>3.3</v>
      </c>
      <c r="F2525" s="11">
        <v>-1.1000000000000001</v>
      </c>
      <c r="G2525" s="11" t="s">
        <v>6</v>
      </c>
      <c r="H2525" s="13">
        <v>-3300</v>
      </c>
      <c r="I2525" s="14">
        <f t="shared" si="92"/>
        <v>0.82502169999999986</v>
      </c>
      <c r="J2525" s="13">
        <f t="shared" si="93"/>
        <v>281125.87999999995</v>
      </c>
    </row>
    <row r="2526" spans="1:10" x14ac:dyDescent="0.25">
      <c r="A2526" s="10">
        <v>41203</v>
      </c>
      <c r="B2526" s="11" t="s">
        <v>2</v>
      </c>
      <c r="C2526" s="11" t="s">
        <v>5</v>
      </c>
      <c r="D2526" s="16" t="str">
        <f>HYPERLINK("https://freddywills.com/pick/2573/rams-6.html", "Rams +6")</f>
        <v>Rams +6</v>
      </c>
      <c r="E2526" s="11">
        <v>5.5</v>
      </c>
      <c r="F2526" s="11">
        <v>-1.1000000000000001</v>
      </c>
      <c r="G2526" s="11" t="s">
        <v>6</v>
      </c>
      <c r="H2526" s="13">
        <v>-5500</v>
      </c>
      <c r="I2526" s="14">
        <f t="shared" si="92"/>
        <v>0.85802169999999989</v>
      </c>
      <c r="J2526" s="13">
        <f t="shared" si="93"/>
        <v>284425.87999999995</v>
      </c>
    </row>
    <row r="2527" spans="1:10" x14ac:dyDescent="0.25">
      <c r="A2527" s="10">
        <v>41202</v>
      </c>
      <c r="B2527" s="11" t="s">
        <v>8</v>
      </c>
      <c r="C2527" s="11" t="s">
        <v>5</v>
      </c>
      <c r="D2527" s="16" t="str">
        <f>HYPERLINK("https://freddywills.com/pick/2574/nebraska-6-5.html", "Nebraska -6.5")</f>
        <v>Nebraska -6.5</v>
      </c>
      <c r="E2527" s="11">
        <v>5.5</v>
      </c>
      <c r="F2527" s="11">
        <v>-1.1000000000000001</v>
      </c>
      <c r="G2527" s="11" t="s">
        <v>6</v>
      </c>
      <c r="H2527" s="13">
        <v>-5500</v>
      </c>
      <c r="I2527" s="14">
        <f t="shared" si="92"/>
        <v>0.91302169999999994</v>
      </c>
      <c r="J2527" s="13">
        <f t="shared" si="93"/>
        <v>289925.87999999995</v>
      </c>
    </row>
    <row r="2528" spans="1:10" x14ac:dyDescent="0.25">
      <c r="A2528" s="10">
        <v>41202</v>
      </c>
      <c r="B2528" s="11" t="s">
        <v>8</v>
      </c>
      <c r="C2528" s="11" t="s">
        <v>5</v>
      </c>
      <c r="D2528" s="16" t="str">
        <f>HYPERLINK("https://freddywills.com/pick/2575/duke-10-5.html", "Duke +10.5")</f>
        <v>Duke +10.5</v>
      </c>
      <c r="E2528" s="11">
        <v>1.1000000000000001</v>
      </c>
      <c r="F2528" s="11">
        <v>-1.1000000000000001</v>
      </c>
      <c r="G2528" s="11" t="s">
        <v>4</v>
      </c>
      <c r="H2528" s="13">
        <v>1000</v>
      </c>
      <c r="I2528" s="14">
        <f t="shared" si="92"/>
        <v>0.96802169999999998</v>
      </c>
      <c r="J2528" s="13">
        <f t="shared" si="93"/>
        <v>295425.87999999995</v>
      </c>
    </row>
    <row r="2529" spans="1:10" x14ac:dyDescent="0.25">
      <c r="A2529" s="10">
        <v>41202</v>
      </c>
      <c r="B2529" s="11" t="s">
        <v>8</v>
      </c>
      <c r="C2529" s="11" t="s">
        <v>5</v>
      </c>
      <c r="D2529" s="16" t="str">
        <f>HYPERLINK("https://freddywills.com/pick/2576/toledo-6.html", "Toledo +6")</f>
        <v>Toledo +6</v>
      </c>
      <c r="E2529" s="11">
        <v>4.4000000000000004</v>
      </c>
      <c r="F2529" s="11">
        <v>-1.1000000000000001</v>
      </c>
      <c r="G2529" s="11" t="s">
        <v>4</v>
      </c>
      <c r="H2529" s="13">
        <v>4000</v>
      </c>
      <c r="I2529" s="14">
        <f t="shared" si="92"/>
        <v>0.95802169999999998</v>
      </c>
      <c r="J2529" s="13">
        <f t="shared" si="93"/>
        <v>294425.87999999995</v>
      </c>
    </row>
    <row r="2530" spans="1:10" x14ac:dyDescent="0.25">
      <c r="A2530" s="10">
        <v>41202</v>
      </c>
      <c r="B2530" s="11" t="s">
        <v>8</v>
      </c>
      <c r="C2530" s="11" t="s">
        <v>5</v>
      </c>
      <c r="D2530" s="16" t="str">
        <f>HYPERLINK("https://freddywills.com/pick/2577/washington-7-5.html", "Washington +7.5")</f>
        <v>Washington +7.5</v>
      </c>
      <c r="E2530" s="11">
        <v>3.3</v>
      </c>
      <c r="F2530" s="11">
        <v>-1.1000000000000001</v>
      </c>
      <c r="G2530" s="11" t="s">
        <v>6</v>
      </c>
      <c r="H2530" s="13">
        <v>-3300</v>
      </c>
      <c r="I2530" s="14">
        <f t="shared" si="92"/>
        <v>0.91802169999999994</v>
      </c>
      <c r="J2530" s="13">
        <f t="shared" si="93"/>
        <v>290425.87999999995</v>
      </c>
    </row>
    <row r="2531" spans="1:10" x14ac:dyDescent="0.25">
      <c r="A2531" s="10">
        <v>41202</v>
      </c>
      <c r="B2531" s="11" t="s">
        <v>8</v>
      </c>
      <c r="C2531" s="11" t="s">
        <v>5</v>
      </c>
      <c r="D2531" s="16" t="str">
        <f>HYPERLINK("https://freddywills.com/pick/2578/florida-3.html", "Florida -3")</f>
        <v>Florida -3</v>
      </c>
      <c r="E2531" s="11">
        <v>4.4000000000000004</v>
      </c>
      <c r="F2531" s="11">
        <v>-1.1000000000000001</v>
      </c>
      <c r="G2531" s="11" t="s">
        <v>4</v>
      </c>
      <c r="H2531" s="13">
        <v>4000</v>
      </c>
      <c r="I2531" s="14">
        <f t="shared" si="92"/>
        <v>0.95102169999999997</v>
      </c>
      <c r="J2531" s="13">
        <f t="shared" si="93"/>
        <v>293725.87999999995</v>
      </c>
    </row>
    <row r="2532" spans="1:10" x14ac:dyDescent="0.25">
      <c r="A2532" s="10">
        <v>41202</v>
      </c>
      <c r="B2532" s="11" t="s">
        <v>8</v>
      </c>
      <c r="C2532" s="11" t="s">
        <v>5</v>
      </c>
      <c r="D2532" s="16" t="str">
        <f>HYPERLINK("https://freddywills.com/pick/2579/michigan-st-9-5.html", "Michigan St +9.5")</f>
        <v>Michigan St +9.5</v>
      </c>
      <c r="E2532" s="11">
        <v>3.3</v>
      </c>
      <c r="F2532" s="11">
        <v>-1.1000000000000001</v>
      </c>
      <c r="G2532" s="11" t="s">
        <v>4</v>
      </c>
      <c r="H2532" s="13">
        <v>3000</v>
      </c>
      <c r="I2532" s="14">
        <f t="shared" si="92"/>
        <v>0.91102169999999993</v>
      </c>
      <c r="J2532" s="13">
        <f t="shared" si="93"/>
        <v>289725.87999999995</v>
      </c>
    </row>
    <row r="2533" spans="1:10" x14ac:dyDescent="0.25">
      <c r="A2533" s="10">
        <v>41201</v>
      </c>
      <c r="B2533" s="11" t="s">
        <v>8</v>
      </c>
      <c r="C2533" s="11" t="s">
        <v>5</v>
      </c>
      <c r="D2533" s="16" t="str">
        <f>HYPERLINK("https://freddywills.com/pick/2580/syracuse-4.html", "Syracuse -4")</f>
        <v>Syracuse -4</v>
      </c>
      <c r="E2533" s="11">
        <v>2.2000000000000002</v>
      </c>
      <c r="F2533" s="11">
        <v>-1.1000000000000001</v>
      </c>
      <c r="G2533" s="11" t="s">
        <v>4</v>
      </c>
      <c r="H2533" s="13">
        <v>2000</v>
      </c>
      <c r="I2533" s="14">
        <f t="shared" si="92"/>
        <v>0.88102169999999991</v>
      </c>
      <c r="J2533" s="13">
        <f t="shared" si="93"/>
        <v>286725.87999999995</v>
      </c>
    </row>
    <row r="2534" spans="1:10" x14ac:dyDescent="0.25">
      <c r="A2534" s="10">
        <v>41201</v>
      </c>
      <c r="B2534" s="11" t="s">
        <v>8</v>
      </c>
      <c r="C2534" s="11" t="s">
        <v>10</v>
      </c>
      <c r="D2534" s="16" t="str">
        <f>HYPERLINK("https://freddywills.com/pick/2581/syracuse-3-u50.html", "Syracuse +3 / U50")</f>
        <v>Syracuse +3 / U50</v>
      </c>
      <c r="E2534" s="11">
        <v>4.5</v>
      </c>
      <c r="F2534" s="11">
        <v>-1.1000000000000001</v>
      </c>
      <c r="G2534" s="11" t="s">
        <v>9</v>
      </c>
      <c r="H2534" s="13">
        <v>0</v>
      </c>
      <c r="I2534" s="14">
        <f t="shared" si="92"/>
        <v>0.86102169999999989</v>
      </c>
      <c r="J2534" s="13">
        <f t="shared" si="93"/>
        <v>284725.87999999995</v>
      </c>
    </row>
    <row r="2535" spans="1:10" x14ac:dyDescent="0.25">
      <c r="A2535" s="10">
        <v>41200</v>
      </c>
      <c r="B2535" s="11" t="s">
        <v>2</v>
      </c>
      <c r="C2535" s="11" t="s">
        <v>5</v>
      </c>
      <c r="D2535" s="16" t="str">
        <f>HYPERLINK("https://freddywills.com/pick/2585/49ers-7.html", "49ers -7")</f>
        <v>49ers -7</v>
      </c>
      <c r="E2535" s="11">
        <v>4.4000000000000004</v>
      </c>
      <c r="F2535" s="11">
        <v>-1.1000000000000001</v>
      </c>
      <c r="G2535" s="11" t="s">
        <v>9</v>
      </c>
      <c r="H2535" s="13">
        <v>0</v>
      </c>
      <c r="I2535" s="14">
        <f t="shared" si="92"/>
        <v>0.86102169999999989</v>
      </c>
      <c r="J2535" s="13">
        <f t="shared" si="93"/>
        <v>284725.87999999995</v>
      </c>
    </row>
    <row r="2536" spans="1:10" x14ac:dyDescent="0.25">
      <c r="A2536" s="10">
        <v>41200</v>
      </c>
      <c r="B2536" s="11" t="s">
        <v>2</v>
      </c>
      <c r="C2536" s="11" t="s">
        <v>10</v>
      </c>
      <c r="D2536" s="16" t="str">
        <f>HYPERLINK("https://freddywills.com/pick/2586/49ers-1-u44.html", "49ers -1/ U44")</f>
        <v>49ers -1/ U44</v>
      </c>
      <c r="E2536" s="11">
        <v>2.2000000000000002</v>
      </c>
      <c r="F2536" s="11">
        <v>-1.1000000000000001</v>
      </c>
      <c r="G2536" s="11" t="s">
        <v>4</v>
      </c>
      <c r="H2536" s="13">
        <v>2000</v>
      </c>
      <c r="I2536" s="14">
        <f t="shared" si="92"/>
        <v>0.86102169999999989</v>
      </c>
      <c r="J2536" s="13">
        <f t="shared" si="93"/>
        <v>284725.87999999995</v>
      </c>
    </row>
    <row r="2537" spans="1:10" x14ac:dyDescent="0.25">
      <c r="A2537" s="10">
        <v>41198</v>
      </c>
      <c r="B2537" s="11" t="s">
        <v>8</v>
      </c>
      <c r="C2537" s="11" t="s">
        <v>5</v>
      </c>
      <c r="D2537" s="16" t="str">
        <f>HYPERLINK("https://freddywills.com/pick/2587/ullaf-3-5.html", "ULLAF -3.5")</f>
        <v>ULLAF -3.5</v>
      </c>
      <c r="E2537" s="11">
        <v>3.3</v>
      </c>
      <c r="F2537" s="11">
        <v>-1.1000000000000001</v>
      </c>
      <c r="G2537" s="11" t="s">
        <v>6</v>
      </c>
      <c r="H2537" s="13">
        <v>-3300</v>
      </c>
      <c r="I2537" s="14">
        <f t="shared" si="92"/>
        <v>0.84102169999999987</v>
      </c>
      <c r="J2537" s="13">
        <f t="shared" si="93"/>
        <v>282725.87999999995</v>
      </c>
    </row>
    <row r="2538" spans="1:10" x14ac:dyDescent="0.25">
      <c r="A2538" s="10">
        <v>41197</v>
      </c>
      <c r="B2538" s="11" t="s">
        <v>2</v>
      </c>
      <c r="C2538" s="11" t="s">
        <v>7</v>
      </c>
      <c r="D2538" s="16" t="str">
        <f>HYPERLINK("https://freddywills.com/pick/2590/den-sd-o47.html", "DEN/SD O47")</f>
        <v>DEN/SD O47</v>
      </c>
      <c r="E2538" s="11">
        <v>1.1000000000000001</v>
      </c>
      <c r="F2538" s="11">
        <v>-1.1000000000000001</v>
      </c>
      <c r="G2538" s="11" t="s">
        <v>4</v>
      </c>
      <c r="H2538" s="13">
        <v>1000</v>
      </c>
      <c r="I2538" s="14">
        <f t="shared" si="92"/>
        <v>0.8740216999999999</v>
      </c>
      <c r="J2538" s="13">
        <f t="shared" si="93"/>
        <v>286025.87999999995</v>
      </c>
    </row>
    <row r="2539" spans="1:10" x14ac:dyDescent="0.25">
      <c r="A2539" s="10">
        <v>41197</v>
      </c>
      <c r="B2539" s="11" t="s">
        <v>2</v>
      </c>
      <c r="C2539" s="11" t="s">
        <v>10</v>
      </c>
      <c r="D2539" s="16" t="str">
        <f>HYPERLINK("https://freddywills.com/pick/2591/den-7-5-o40-5-120.html", "DEN +7.5 / O40.5 -120")</f>
        <v>DEN +7.5 / O40.5 -120</v>
      </c>
      <c r="E2539" s="11">
        <v>5</v>
      </c>
      <c r="F2539" s="11">
        <v>-1.2</v>
      </c>
      <c r="G2539" s="11" t="s">
        <v>4</v>
      </c>
      <c r="H2539" s="13">
        <v>4166.67</v>
      </c>
      <c r="I2539" s="14">
        <f t="shared" si="92"/>
        <v>0.86402169999999989</v>
      </c>
      <c r="J2539" s="13">
        <f t="shared" si="93"/>
        <v>285025.87999999995</v>
      </c>
    </row>
    <row r="2540" spans="1:10" x14ac:dyDescent="0.25">
      <c r="A2540" s="10">
        <v>41196</v>
      </c>
      <c r="B2540" s="11" t="s">
        <v>2</v>
      </c>
      <c r="C2540" s="11" t="s">
        <v>5</v>
      </c>
      <c r="D2540" s="16" t="str">
        <f>HYPERLINK("https://freddywills.com/pick/2592/cowboys-4-115.html", "Cowboys +4 -115")</f>
        <v>Cowboys +4 -115</v>
      </c>
      <c r="E2540" s="11">
        <v>5.5</v>
      </c>
      <c r="F2540" s="11">
        <v>-1.1499999999999999</v>
      </c>
      <c r="G2540" s="11" t="s">
        <v>4</v>
      </c>
      <c r="H2540" s="13">
        <v>4782.6099999999997</v>
      </c>
      <c r="I2540" s="14">
        <f t="shared" si="92"/>
        <v>0.82235499999999995</v>
      </c>
      <c r="J2540" s="13">
        <f t="shared" si="93"/>
        <v>280859.20999999996</v>
      </c>
    </row>
    <row r="2541" spans="1:10" x14ac:dyDescent="0.25">
      <c r="A2541" s="10">
        <v>41196</v>
      </c>
      <c r="B2541" s="11" t="s">
        <v>2</v>
      </c>
      <c r="C2541" s="11" t="s">
        <v>5</v>
      </c>
      <c r="D2541" s="16" t="str">
        <f>HYPERLINK("https://freddywills.com/pick/2593/browns-2-5.html", "Browns +2.5")</f>
        <v>Browns +2.5</v>
      </c>
      <c r="E2541" s="11">
        <v>2.2000000000000002</v>
      </c>
      <c r="F2541" s="11">
        <v>-1.1000000000000001</v>
      </c>
      <c r="G2541" s="11" t="s">
        <v>4</v>
      </c>
      <c r="H2541" s="13">
        <v>2000</v>
      </c>
      <c r="I2541" s="14">
        <f t="shared" si="92"/>
        <v>0.77452889999999996</v>
      </c>
      <c r="J2541" s="13">
        <f t="shared" si="93"/>
        <v>276076.59999999998</v>
      </c>
    </row>
    <row r="2542" spans="1:10" x14ac:dyDescent="0.25">
      <c r="A2542" s="10">
        <v>41196</v>
      </c>
      <c r="B2542" s="11" t="s">
        <v>2</v>
      </c>
      <c r="C2542" s="11" t="s">
        <v>5</v>
      </c>
      <c r="D2542" s="16" t="str">
        <f>HYPERLINK("https://freddywills.com/pick/2594/seahawks-3-5.html", "Seahawks +3.5")</f>
        <v>Seahawks +3.5</v>
      </c>
      <c r="E2542" s="11">
        <v>3.3</v>
      </c>
      <c r="F2542" s="11">
        <v>-1.1000000000000001</v>
      </c>
      <c r="G2542" s="11" t="s">
        <v>4</v>
      </c>
      <c r="H2542" s="13">
        <v>3000</v>
      </c>
      <c r="I2542" s="14">
        <f t="shared" si="92"/>
        <v>0.75452889999999995</v>
      </c>
      <c r="J2542" s="13">
        <f t="shared" si="93"/>
        <v>274076.59999999998</v>
      </c>
    </row>
    <row r="2543" spans="1:10" x14ac:dyDescent="0.25">
      <c r="A2543" s="10">
        <v>41196</v>
      </c>
      <c r="B2543" s="11" t="s">
        <v>2</v>
      </c>
      <c r="C2543" s="11" t="s">
        <v>5</v>
      </c>
      <c r="D2543" s="16" t="str">
        <f>HYPERLINK("https://freddywills.com/pick/2595/giants-7-5-120.html", "Giants +7.5 -120")</f>
        <v>Giants +7.5 -120</v>
      </c>
      <c r="E2543" s="11">
        <v>3.5</v>
      </c>
      <c r="F2543" s="11">
        <v>-1.2</v>
      </c>
      <c r="G2543" s="11" t="s">
        <v>4</v>
      </c>
      <c r="H2543" s="13">
        <v>2916.67</v>
      </c>
      <c r="I2543" s="14">
        <f t="shared" si="92"/>
        <v>0.72452889999999992</v>
      </c>
      <c r="J2543" s="13">
        <f t="shared" si="93"/>
        <v>271076.59999999998</v>
      </c>
    </row>
    <row r="2544" spans="1:10" x14ac:dyDescent="0.25">
      <c r="A2544" s="10">
        <v>41195</v>
      </c>
      <c r="B2544" s="11" t="s">
        <v>8</v>
      </c>
      <c r="C2544" s="11" t="s">
        <v>5</v>
      </c>
      <c r="D2544" s="16" t="str">
        <f>HYPERLINK("https://freddywills.com/pick/2596/iowa-st-7.html", "Iowa St +7")</f>
        <v>Iowa St +7</v>
      </c>
      <c r="E2544" s="11">
        <v>5.5</v>
      </c>
      <c r="F2544" s="11">
        <v>-1.1000000000000001</v>
      </c>
      <c r="G2544" s="11" t="s">
        <v>4</v>
      </c>
      <c r="H2544" s="13">
        <v>5000</v>
      </c>
      <c r="I2544" s="14">
        <f t="shared" si="92"/>
        <v>0.69536219999999993</v>
      </c>
      <c r="J2544" s="13">
        <f t="shared" si="93"/>
        <v>268159.93</v>
      </c>
    </row>
    <row r="2545" spans="1:10" x14ac:dyDescent="0.25">
      <c r="A2545" s="10">
        <v>41195</v>
      </c>
      <c r="B2545" s="11" t="s">
        <v>8</v>
      </c>
      <c r="C2545" s="11" t="s">
        <v>18</v>
      </c>
      <c r="D2545" s="16" t="str">
        <f>HYPERLINK("https://freddywills.com/pick/2597/iowa-st-220.html", "Iowa St +220")</f>
        <v>Iowa St +220</v>
      </c>
      <c r="E2545" s="11">
        <v>1</v>
      </c>
      <c r="F2545" s="11">
        <v>2.2000000000000002</v>
      </c>
      <c r="G2545" s="11" t="s">
        <v>6</v>
      </c>
      <c r="H2545" s="13">
        <v>-1000</v>
      </c>
      <c r="I2545" s="14">
        <f t="shared" si="92"/>
        <v>0.64536219999999989</v>
      </c>
      <c r="J2545" s="13">
        <f t="shared" si="93"/>
        <v>263159.93</v>
      </c>
    </row>
    <row r="2546" spans="1:10" x14ac:dyDescent="0.25">
      <c r="A2546" s="10">
        <v>41195</v>
      </c>
      <c r="B2546" s="11" t="s">
        <v>8</v>
      </c>
      <c r="C2546" s="11" t="s">
        <v>5</v>
      </c>
      <c r="D2546" s="16" t="str">
        <f>HYPERLINK("https://freddywills.com/pick/2598/oregon-st-6.html", "Oregon St +6")</f>
        <v>Oregon St +6</v>
      </c>
      <c r="E2546" s="11">
        <v>1.1000000000000001</v>
      </c>
      <c r="F2546" s="11">
        <v>-1.1000000000000001</v>
      </c>
      <c r="G2546" s="11" t="s">
        <v>4</v>
      </c>
      <c r="H2546" s="13">
        <v>1000</v>
      </c>
      <c r="I2546" s="14">
        <f t="shared" si="92"/>
        <v>0.65536219999999989</v>
      </c>
      <c r="J2546" s="13">
        <f t="shared" si="93"/>
        <v>264159.93</v>
      </c>
    </row>
    <row r="2547" spans="1:10" x14ac:dyDescent="0.25">
      <c r="A2547" s="10">
        <v>41195</v>
      </c>
      <c r="B2547" s="11" t="s">
        <v>8</v>
      </c>
      <c r="C2547" s="11" t="s">
        <v>5</v>
      </c>
      <c r="D2547" s="16" t="str">
        <f>HYPERLINK("https://freddywills.com/pick/2599/stanford-7-wow.html", "Stanford +7 WOW")</f>
        <v>Stanford +7 WOW</v>
      </c>
      <c r="E2547" s="11">
        <v>4.4000000000000004</v>
      </c>
      <c r="F2547" s="11">
        <v>-1.1000000000000001</v>
      </c>
      <c r="G2547" s="11" t="s">
        <v>9</v>
      </c>
      <c r="H2547" s="13">
        <v>0</v>
      </c>
      <c r="I2547" s="14">
        <f t="shared" si="92"/>
        <v>0.64536219999999989</v>
      </c>
      <c r="J2547" s="13">
        <f t="shared" si="93"/>
        <v>263159.93</v>
      </c>
    </row>
    <row r="2548" spans="1:10" x14ac:dyDescent="0.25">
      <c r="A2548" s="10">
        <v>41195</v>
      </c>
      <c r="B2548" s="11" t="s">
        <v>8</v>
      </c>
      <c r="C2548" s="11" t="s">
        <v>5</v>
      </c>
      <c r="D2548" s="16" t="str">
        <f>HYPERLINK("https://freddywills.com/pick/2600/san-jose-2-5.html", "San Jose -2.5")</f>
        <v>San Jose -2.5</v>
      </c>
      <c r="E2548" s="11">
        <v>3.5</v>
      </c>
      <c r="F2548" s="11">
        <v>-1.1000000000000001</v>
      </c>
      <c r="G2548" s="11" t="s">
        <v>6</v>
      </c>
      <c r="H2548" s="13">
        <v>-3500</v>
      </c>
      <c r="I2548" s="14">
        <f t="shared" si="92"/>
        <v>0.64536219999999989</v>
      </c>
      <c r="J2548" s="13">
        <f t="shared" si="93"/>
        <v>263159.93</v>
      </c>
    </row>
    <row r="2549" spans="1:10" x14ac:dyDescent="0.25">
      <c r="A2549" s="10">
        <v>41195</v>
      </c>
      <c r="B2549" s="11" t="s">
        <v>8</v>
      </c>
      <c r="C2549" s="11" t="s">
        <v>5</v>
      </c>
      <c r="D2549" s="16" t="str">
        <f>HYPERLINK("https://freddywills.com/pick/2601/tcu-7-5-120.html", "TCU +7.5 -120")</f>
        <v>TCU +7.5 -120</v>
      </c>
      <c r="E2549" s="11">
        <v>4</v>
      </c>
      <c r="F2549" s="11">
        <v>-1.2</v>
      </c>
      <c r="G2549" s="11" t="s">
        <v>4</v>
      </c>
      <c r="H2549" s="13">
        <v>3333.33</v>
      </c>
      <c r="I2549" s="14">
        <f t="shared" si="92"/>
        <v>0.68036219999999992</v>
      </c>
      <c r="J2549" s="13">
        <f t="shared" si="93"/>
        <v>266659.93</v>
      </c>
    </row>
    <row r="2550" spans="1:10" x14ac:dyDescent="0.25">
      <c r="A2550" s="10">
        <v>41195</v>
      </c>
      <c r="B2550" s="11" t="s">
        <v>8</v>
      </c>
      <c r="C2550" s="11" t="s">
        <v>5</v>
      </c>
      <c r="D2550" s="16" t="str">
        <f>HYPERLINK("https://freddywills.com/pick/2602/miss-st-3.html", "Miss St -3")</f>
        <v>Miss St -3</v>
      </c>
      <c r="E2550" s="11">
        <v>2.2000000000000002</v>
      </c>
      <c r="F2550" s="11">
        <v>-1.1000000000000001</v>
      </c>
      <c r="G2550" s="11" t="s">
        <v>4</v>
      </c>
      <c r="H2550" s="13">
        <v>2000</v>
      </c>
      <c r="I2550" s="14">
        <f t="shared" si="92"/>
        <v>0.64702889999999991</v>
      </c>
      <c r="J2550" s="13">
        <f t="shared" si="93"/>
        <v>263326.59999999998</v>
      </c>
    </row>
    <row r="2551" spans="1:10" x14ac:dyDescent="0.25">
      <c r="A2551" s="10">
        <v>41195</v>
      </c>
      <c r="B2551" s="11" t="s">
        <v>8</v>
      </c>
      <c r="C2551" s="11" t="s">
        <v>5</v>
      </c>
      <c r="D2551" s="16" t="str">
        <f>HYPERLINK("https://freddywills.com/pick/2603/lsu-2-5.html", "LSU -2.5")</f>
        <v>LSU -2.5</v>
      </c>
      <c r="E2551" s="11">
        <v>3.3</v>
      </c>
      <c r="F2551" s="11">
        <v>-1.1000000000000001</v>
      </c>
      <c r="G2551" s="11" t="s">
        <v>6</v>
      </c>
      <c r="H2551" s="13">
        <v>-3300</v>
      </c>
      <c r="I2551" s="14">
        <f t="shared" si="92"/>
        <v>0.62702889999999989</v>
      </c>
      <c r="J2551" s="13">
        <f t="shared" si="93"/>
        <v>261326.59999999998</v>
      </c>
    </row>
    <row r="2552" spans="1:10" x14ac:dyDescent="0.25">
      <c r="A2552" s="10">
        <v>41194</v>
      </c>
      <c r="B2552" s="11" t="s">
        <v>8</v>
      </c>
      <c r="C2552" s="11" t="s">
        <v>5</v>
      </c>
      <c r="D2552" s="16" t="str">
        <f>HYPERLINK("https://freddywills.com/pick/2604/navy-2.html", "NAVY +2")</f>
        <v>NAVY +2</v>
      </c>
      <c r="E2552" s="11">
        <v>3.3</v>
      </c>
      <c r="F2552" s="11">
        <v>-1.1000000000000001</v>
      </c>
      <c r="G2552" s="11" t="s">
        <v>4</v>
      </c>
      <c r="H2552" s="13">
        <v>3000</v>
      </c>
      <c r="I2552" s="14">
        <f t="shared" si="92"/>
        <v>0.66002889999999992</v>
      </c>
      <c r="J2552" s="13">
        <f t="shared" si="93"/>
        <v>264626.59999999998</v>
      </c>
    </row>
    <row r="2553" spans="1:10" x14ac:dyDescent="0.25">
      <c r="A2553" s="10">
        <v>41193</v>
      </c>
      <c r="B2553" s="11" t="s">
        <v>8</v>
      </c>
      <c r="C2553" s="11" t="s">
        <v>5</v>
      </c>
      <c r="D2553" s="16" t="str">
        <f>HYPERLINK("https://freddywills.com/pick/2606/ariz-st-22.html", "Ariz St -22")</f>
        <v>Ariz St -22</v>
      </c>
      <c r="E2553" s="11">
        <v>3.3</v>
      </c>
      <c r="F2553" s="11">
        <v>-1.1000000000000001</v>
      </c>
      <c r="G2553" s="11" t="s">
        <v>4</v>
      </c>
      <c r="H2553" s="13">
        <v>3000</v>
      </c>
      <c r="I2553" s="14">
        <f t="shared" si="92"/>
        <v>0.63002889999999989</v>
      </c>
      <c r="J2553" s="13">
        <f t="shared" si="93"/>
        <v>261626.59999999998</v>
      </c>
    </row>
    <row r="2554" spans="1:10" x14ac:dyDescent="0.25">
      <c r="A2554" s="10">
        <v>41193</v>
      </c>
      <c r="B2554" s="11" t="s">
        <v>2</v>
      </c>
      <c r="C2554" s="11" t="s">
        <v>5</v>
      </c>
      <c r="D2554" s="16" t="str">
        <f>HYPERLINK("https://freddywills.com/pick/2607/titans-6-5.html", "Titans +6.5")</f>
        <v>Titans +6.5</v>
      </c>
      <c r="E2554" s="11">
        <v>4.4000000000000004</v>
      </c>
      <c r="F2554" s="11">
        <v>-1.1000000000000001</v>
      </c>
      <c r="G2554" s="11" t="s">
        <v>4</v>
      </c>
      <c r="H2554" s="13">
        <v>4000</v>
      </c>
      <c r="I2554" s="14">
        <f t="shared" si="92"/>
        <v>0.60002889999999987</v>
      </c>
      <c r="J2554" s="13">
        <f t="shared" si="93"/>
        <v>258626.59999999998</v>
      </c>
    </row>
    <row r="2555" spans="1:10" x14ac:dyDescent="0.25">
      <c r="A2555" s="10">
        <v>41189</v>
      </c>
      <c r="B2555" s="11" t="s">
        <v>2</v>
      </c>
      <c r="C2555" s="11" t="s">
        <v>5</v>
      </c>
      <c r="D2555" s="16" t="str">
        <f>HYPERLINK("https://freddywills.com/pick/2613/browns-8-5.html", "Browns +8.5")</f>
        <v>Browns +8.5</v>
      </c>
      <c r="E2555" s="11">
        <v>5.5</v>
      </c>
      <c r="F2555" s="11">
        <v>-1.1000000000000001</v>
      </c>
      <c r="G2555" s="11" t="s">
        <v>6</v>
      </c>
      <c r="H2555" s="13">
        <v>-5500</v>
      </c>
      <c r="I2555" s="14">
        <f t="shared" si="92"/>
        <v>0.56002889999999983</v>
      </c>
      <c r="J2555" s="13">
        <f t="shared" si="93"/>
        <v>254626.59999999998</v>
      </c>
    </row>
    <row r="2556" spans="1:10" x14ac:dyDescent="0.25">
      <c r="A2556" s="10">
        <v>41189</v>
      </c>
      <c r="B2556" s="11" t="s">
        <v>2</v>
      </c>
      <c r="C2556" s="11" t="s">
        <v>5</v>
      </c>
      <c r="D2556" s="16" t="str">
        <f>HYPERLINK("https://freddywills.com/pick/2614/steelers-3.html", "Steelers -3")</f>
        <v>Steelers -3</v>
      </c>
      <c r="E2556" s="11">
        <v>2.2000000000000002</v>
      </c>
      <c r="F2556" s="11">
        <v>-1.1000000000000001</v>
      </c>
      <c r="G2556" s="11" t="s">
        <v>6</v>
      </c>
      <c r="H2556" s="13">
        <v>-2200</v>
      </c>
      <c r="I2556" s="14">
        <f t="shared" si="92"/>
        <v>0.61502889999999988</v>
      </c>
      <c r="J2556" s="13">
        <f t="shared" si="93"/>
        <v>260126.59999999998</v>
      </c>
    </row>
    <row r="2557" spans="1:10" x14ac:dyDescent="0.25">
      <c r="A2557" s="10">
        <v>41189</v>
      </c>
      <c r="B2557" s="11" t="s">
        <v>2</v>
      </c>
      <c r="C2557" s="11" t="s">
        <v>5</v>
      </c>
      <c r="D2557" s="16" t="str">
        <f>HYPERLINK("https://freddywills.com/pick/2615/colts-7.html", "Colts +7")</f>
        <v>Colts +7</v>
      </c>
      <c r="E2557" s="11">
        <v>4.4000000000000004</v>
      </c>
      <c r="F2557" s="11">
        <v>-1.1000000000000001</v>
      </c>
      <c r="G2557" s="11" t="s">
        <v>4</v>
      </c>
      <c r="H2557" s="13">
        <v>4000</v>
      </c>
      <c r="I2557" s="14">
        <f t="shared" si="92"/>
        <v>0.6370288999999999</v>
      </c>
      <c r="J2557" s="13">
        <f t="shared" si="93"/>
        <v>262326.59999999998</v>
      </c>
    </row>
    <row r="2558" spans="1:10" x14ac:dyDescent="0.25">
      <c r="A2558" s="10">
        <v>41189</v>
      </c>
      <c r="B2558" s="11" t="s">
        <v>2</v>
      </c>
      <c r="C2558" s="11" t="s">
        <v>5</v>
      </c>
      <c r="D2558" s="16" t="str">
        <f>HYPERLINK("https://freddywills.com/pick/2616/seahawks-3-125.html", "Seahawks +3 -125")</f>
        <v>Seahawks +3 -125</v>
      </c>
      <c r="E2558" s="11">
        <v>4</v>
      </c>
      <c r="F2558" s="11">
        <v>-1.25</v>
      </c>
      <c r="G2558" s="11" t="s">
        <v>4</v>
      </c>
      <c r="H2558" s="13">
        <v>3200</v>
      </c>
      <c r="I2558" s="14">
        <f t="shared" si="92"/>
        <v>0.59702889999999986</v>
      </c>
      <c r="J2558" s="13">
        <f t="shared" si="93"/>
        <v>258326.6</v>
      </c>
    </row>
    <row r="2559" spans="1:10" x14ac:dyDescent="0.25">
      <c r="A2559" s="10">
        <v>41188</v>
      </c>
      <c r="B2559" s="11" t="s">
        <v>8</v>
      </c>
      <c r="C2559" s="11" t="s">
        <v>5</v>
      </c>
      <c r="D2559" s="16" t="str">
        <f>HYPERLINK("https://freddywills.com/pick/2618/penn-st-2-5.html", "Penn St -2.5")</f>
        <v>Penn St -2.5</v>
      </c>
      <c r="E2559" s="11">
        <v>3.3</v>
      </c>
      <c r="F2559" s="11">
        <v>-1.1000000000000001</v>
      </c>
      <c r="G2559" s="11" t="s">
        <v>4</v>
      </c>
      <c r="H2559" s="13">
        <v>3000</v>
      </c>
      <c r="I2559" s="14">
        <f t="shared" si="92"/>
        <v>0.56502889999999983</v>
      </c>
      <c r="J2559" s="13">
        <f t="shared" si="93"/>
        <v>255126.6</v>
      </c>
    </row>
    <row r="2560" spans="1:10" x14ac:dyDescent="0.25">
      <c r="A2560" s="10">
        <v>41188</v>
      </c>
      <c r="B2560" s="11" t="s">
        <v>8</v>
      </c>
      <c r="C2560" s="11" t="s">
        <v>5</v>
      </c>
      <c r="D2560" s="16" t="str">
        <f>HYPERLINK("https://freddywills.com/pick/2619/arkansas-8-5.html", "Arkansas +8.5")</f>
        <v>Arkansas +8.5</v>
      </c>
      <c r="E2560" s="11">
        <v>2.2000000000000002</v>
      </c>
      <c r="F2560" s="11">
        <v>-1.1000000000000001</v>
      </c>
      <c r="G2560" s="11" t="s">
        <v>4</v>
      </c>
      <c r="H2560" s="13">
        <v>2000</v>
      </c>
      <c r="I2560" s="14">
        <f t="shared" si="92"/>
        <v>0.53502889999999981</v>
      </c>
      <c r="J2560" s="13">
        <f t="shared" si="93"/>
        <v>252126.6</v>
      </c>
    </row>
    <row r="2561" spans="1:10" x14ac:dyDescent="0.25">
      <c r="A2561" s="10">
        <v>41188</v>
      </c>
      <c r="B2561" s="11" t="s">
        <v>8</v>
      </c>
      <c r="C2561" s="11" t="s">
        <v>10</v>
      </c>
      <c r="D2561" s="16" t="str">
        <f>HYPERLINK("https://freddywills.com/pick/2622/georgia-7-5-florida-8-5.html", "Georgia +7.5 / Florida +8.5")</f>
        <v>Georgia +7.5 / Florida +8.5</v>
      </c>
      <c r="E2561" s="11">
        <v>3.3</v>
      </c>
      <c r="F2561" s="11">
        <v>-1.1000000000000001</v>
      </c>
      <c r="G2561" s="11" t="s">
        <v>6</v>
      </c>
      <c r="H2561" s="13">
        <v>-3300</v>
      </c>
      <c r="I2561" s="14">
        <f t="shared" si="92"/>
        <v>0.51502889999999979</v>
      </c>
      <c r="J2561" s="13">
        <f t="shared" si="93"/>
        <v>250126.6</v>
      </c>
    </row>
    <row r="2562" spans="1:10" x14ac:dyDescent="0.25">
      <c r="A2562" s="10">
        <v>41188</v>
      </c>
      <c r="B2562" s="11" t="s">
        <v>8</v>
      </c>
      <c r="C2562" s="11" t="s">
        <v>18</v>
      </c>
      <c r="D2562" s="16" t="str">
        <f>HYPERLINK("https://freddywills.com/pick/2623/smu-125.html", "SMU +125")</f>
        <v>SMU +125</v>
      </c>
      <c r="E2562" s="11">
        <v>3</v>
      </c>
      <c r="F2562" s="11">
        <v>1.25</v>
      </c>
      <c r="G2562" s="11" t="s">
        <v>4</v>
      </c>
      <c r="H2562" s="13">
        <v>3750</v>
      </c>
      <c r="I2562" s="14">
        <f t="shared" si="92"/>
        <v>0.54802889999999982</v>
      </c>
      <c r="J2562" s="13">
        <f t="shared" si="93"/>
        <v>253426.6</v>
      </c>
    </row>
    <row r="2563" spans="1:10" x14ac:dyDescent="0.25">
      <c r="A2563" s="10">
        <v>41188</v>
      </c>
      <c r="B2563" s="11" t="s">
        <v>8</v>
      </c>
      <c r="C2563" s="11" t="s">
        <v>5</v>
      </c>
      <c r="D2563" s="16" t="str">
        <f>HYPERLINK("https://freddywills.com/pick/2624/texas-6-5.html", "Texas -6.5")</f>
        <v>Texas -6.5</v>
      </c>
      <c r="E2563" s="11">
        <v>3.3</v>
      </c>
      <c r="F2563" s="11">
        <v>-1.1000000000000001</v>
      </c>
      <c r="G2563" s="11" t="s">
        <v>6</v>
      </c>
      <c r="H2563" s="13">
        <v>-3300</v>
      </c>
      <c r="I2563" s="14">
        <f t="shared" si="92"/>
        <v>0.51052889999999984</v>
      </c>
      <c r="J2563" s="13">
        <f t="shared" si="93"/>
        <v>249676.6</v>
      </c>
    </row>
    <row r="2564" spans="1:10" x14ac:dyDescent="0.25">
      <c r="A2564" s="10">
        <v>41188</v>
      </c>
      <c r="B2564" s="11" t="s">
        <v>8</v>
      </c>
      <c r="C2564" s="11" t="s">
        <v>5</v>
      </c>
      <c r="D2564" s="16" t="str">
        <f>HYPERLINK("https://freddywills.com/pick/2625/marshall-4.html", "Marshall +4")</f>
        <v>Marshall +4</v>
      </c>
      <c r="E2564" s="11">
        <v>4.4000000000000004</v>
      </c>
      <c r="F2564" s="11">
        <v>-1.1000000000000001</v>
      </c>
      <c r="G2564" s="11" t="s">
        <v>6</v>
      </c>
      <c r="H2564" s="13">
        <v>-4400</v>
      </c>
      <c r="I2564" s="14">
        <f t="shared" si="92"/>
        <v>0.54352889999999987</v>
      </c>
      <c r="J2564" s="13">
        <f t="shared" si="93"/>
        <v>252976.6</v>
      </c>
    </row>
    <row r="2565" spans="1:10" x14ac:dyDescent="0.25">
      <c r="A2565" s="10">
        <v>41188</v>
      </c>
      <c r="B2565" s="11" t="s">
        <v>8</v>
      </c>
      <c r="C2565" s="11" t="s">
        <v>5</v>
      </c>
      <c r="D2565" s="16" t="str">
        <f>HYPERLINK("https://freddywills.com/pick/2626/oklahoma-4-5.html", "Oklahoma -4.5")</f>
        <v>Oklahoma -4.5</v>
      </c>
      <c r="E2565" s="11">
        <v>3.3</v>
      </c>
      <c r="F2565" s="11">
        <v>-1.1000000000000001</v>
      </c>
      <c r="G2565" s="11" t="s">
        <v>4</v>
      </c>
      <c r="H2565" s="13">
        <v>3000</v>
      </c>
      <c r="I2565" s="14">
        <f t="shared" si="92"/>
        <v>0.58752889999999991</v>
      </c>
      <c r="J2565" s="13">
        <f t="shared" si="93"/>
        <v>257376.6</v>
      </c>
    </row>
    <row r="2566" spans="1:10" x14ac:dyDescent="0.25">
      <c r="A2566" s="10">
        <v>41188</v>
      </c>
      <c r="B2566" s="11" t="s">
        <v>8</v>
      </c>
      <c r="C2566" s="11" t="s">
        <v>5</v>
      </c>
      <c r="D2566" s="16" t="str">
        <f>HYPERLINK("https://freddywills.com/pick/2627/virginia-2.html", "Virginia +2")</f>
        <v>Virginia +2</v>
      </c>
      <c r="E2566" s="11">
        <v>5.5</v>
      </c>
      <c r="F2566" s="11">
        <v>-1.1000000000000001</v>
      </c>
      <c r="G2566" s="11" t="s">
        <v>6</v>
      </c>
      <c r="H2566" s="13">
        <v>-5500</v>
      </c>
      <c r="I2566" s="14">
        <f t="shared" si="92"/>
        <v>0.55752889999999988</v>
      </c>
      <c r="J2566" s="13">
        <f t="shared" si="93"/>
        <v>254376.6</v>
      </c>
    </row>
    <row r="2567" spans="1:10" x14ac:dyDescent="0.25">
      <c r="A2567" s="10">
        <v>41187</v>
      </c>
      <c r="B2567" s="11" t="s">
        <v>8</v>
      </c>
      <c r="C2567" s="11" t="s">
        <v>5</v>
      </c>
      <c r="D2567" s="16" t="str">
        <f>HYPERLINK("https://freddywills.com/pick/2628/syracuse-1.html", "Syracuse -1")</f>
        <v>Syracuse -1</v>
      </c>
      <c r="E2567" s="11">
        <v>5.5</v>
      </c>
      <c r="F2567" s="11">
        <v>-1.1000000000000001</v>
      </c>
      <c r="G2567" s="11" t="s">
        <v>9</v>
      </c>
      <c r="H2567" s="13">
        <v>0</v>
      </c>
      <c r="I2567" s="14">
        <f t="shared" si="92"/>
        <v>0.61252889999999993</v>
      </c>
      <c r="J2567" s="13">
        <f t="shared" si="93"/>
        <v>259876.6</v>
      </c>
    </row>
    <row r="2568" spans="1:10" x14ac:dyDescent="0.25">
      <c r="A2568" s="10">
        <v>41186</v>
      </c>
      <c r="B2568" s="11" t="s">
        <v>8</v>
      </c>
      <c r="C2568" s="11" t="s">
        <v>5</v>
      </c>
      <c r="D2568" s="16" t="str">
        <f>HYPERLINK("https://freddywills.com/pick/2630/utah-14-5.html", "Utah +14.5")</f>
        <v>Utah +14.5</v>
      </c>
      <c r="E2568" s="11">
        <v>4.4000000000000004</v>
      </c>
      <c r="F2568" s="11">
        <v>-1.1000000000000001</v>
      </c>
      <c r="G2568" s="11" t="s">
        <v>4</v>
      </c>
      <c r="H2568" s="13">
        <v>4000</v>
      </c>
      <c r="I2568" s="14">
        <f t="shared" si="92"/>
        <v>0.61252889999999993</v>
      </c>
      <c r="J2568" s="13">
        <f t="shared" si="93"/>
        <v>259876.6</v>
      </c>
    </row>
    <row r="2569" spans="1:10" x14ac:dyDescent="0.25">
      <c r="A2569" s="10">
        <v>41186</v>
      </c>
      <c r="B2569" s="11" t="s">
        <v>8</v>
      </c>
      <c r="C2569" s="11" t="s">
        <v>10</v>
      </c>
      <c r="D2569" s="16" t="str">
        <f>HYPERLINK("https://freddywills.com/pick/2631/fiu-8-ucf-5-5.html", "FIU +8/ UCF -5.5")</f>
        <v>FIU +8/ UCF -5.5</v>
      </c>
      <c r="E2569" s="11">
        <v>3.3</v>
      </c>
      <c r="F2569" s="11">
        <v>-1.1000000000000001</v>
      </c>
      <c r="G2569" s="11" t="s">
        <v>6</v>
      </c>
      <c r="H2569" s="13">
        <v>-3300</v>
      </c>
      <c r="I2569" s="14">
        <f t="shared" si="92"/>
        <v>0.5725288999999999</v>
      </c>
      <c r="J2569" s="13">
        <f t="shared" si="93"/>
        <v>255876.6</v>
      </c>
    </row>
    <row r="2570" spans="1:10" x14ac:dyDescent="0.25">
      <c r="A2570" s="10">
        <v>41186</v>
      </c>
      <c r="B2570" s="11" t="s">
        <v>2</v>
      </c>
      <c r="C2570" s="11" t="s">
        <v>5</v>
      </c>
      <c r="D2570" s="16" t="str">
        <f>HYPERLINK("https://freddywills.com/pick/2632/rams-3-125.html", "Rams +3 -125")</f>
        <v>Rams +3 -125</v>
      </c>
      <c r="E2570" s="11">
        <v>3.5</v>
      </c>
      <c r="F2570" s="11">
        <v>-1.25</v>
      </c>
      <c r="G2570" s="11" t="s">
        <v>4</v>
      </c>
      <c r="H2570" s="13">
        <v>2800</v>
      </c>
      <c r="I2570" s="14">
        <f t="shared" si="92"/>
        <v>0.60552889999999993</v>
      </c>
      <c r="J2570" s="13">
        <f t="shared" si="93"/>
        <v>259176.6</v>
      </c>
    </row>
    <row r="2571" spans="1:10" x14ac:dyDescent="0.25">
      <c r="A2571" s="10">
        <v>41183</v>
      </c>
      <c r="B2571" s="11" t="s">
        <v>2</v>
      </c>
      <c r="C2571" s="11" t="s">
        <v>5</v>
      </c>
      <c r="D2571" s="16" t="str">
        <f>HYPERLINK("https://freddywills.com/pick/2636/cowboys-2-5-120.html", "Cowboys -2.5 -120")</f>
        <v>Cowboys -2.5 -120</v>
      </c>
      <c r="E2571" s="11">
        <v>4.5</v>
      </c>
      <c r="F2571" s="11">
        <v>-1.2</v>
      </c>
      <c r="G2571" s="11" t="s">
        <v>6</v>
      </c>
      <c r="H2571" s="13">
        <v>-4500</v>
      </c>
      <c r="I2571" s="14">
        <f t="shared" si="92"/>
        <v>0.5775288999999999</v>
      </c>
      <c r="J2571" s="13">
        <f t="shared" si="93"/>
        <v>256376.6</v>
      </c>
    </row>
    <row r="2572" spans="1:10" x14ac:dyDescent="0.25">
      <c r="A2572" s="10">
        <v>41182</v>
      </c>
      <c r="B2572" s="11" t="s">
        <v>2</v>
      </c>
      <c r="C2572" s="11" t="s">
        <v>10</v>
      </c>
      <c r="D2572" s="16" t="str">
        <f>HYPERLINK("https://freddywills.com/pick/2637/nyg-8-5-u53.html", "NYG +8.5 U53")</f>
        <v>NYG +8.5 U53</v>
      </c>
      <c r="E2572" s="11">
        <v>4.4000000000000004</v>
      </c>
      <c r="F2572" s="11">
        <v>-1.1000000000000001</v>
      </c>
      <c r="G2572" s="11" t="s">
        <v>4</v>
      </c>
      <c r="H2572" s="13">
        <v>4000</v>
      </c>
      <c r="I2572" s="14">
        <f t="shared" si="92"/>
        <v>0.62252889999999994</v>
      </c>
      <c r="J2572" s="13">
        <f t="shared" si="93"/>
        <v>260876.6</v>
      </c>
    </row>
    <row r="2573" spans="1:10" x14ac:dyDescent="0.25">
      <c r="A2573" s="10">
        <v>41182</v>
      </c>
      <c r="B2573" s="11" t="s">
        <v>2</v>
      </c>
      <c r="C2573" s="11" t="s">
        <v>5</v>
      </c>
      <c r="D2573" s="16" t="str">
        <f>HYPERLINK("https://freddywills.com/pick/2639/rams-3-120.html", "Rams +3 -120")</f>
        <v>Rams +3 -120</v>
      </c>
      <c r="E2573" s="11">
        <v>3.5</v>
      </c>
      <c r="F2573" s="11">
        <v>-1.2</v>
      </c>
      <c r="G2573" s="11" t="s">
        <v>4</v>
      </c>
      <c r="H2573" s="13">
        <v>2916.67</v>
      </c>
      <c r="I2573" s="14">
        <f t="shared" si="92"/>
        <v>0.58252889999999991</v>
      </c>
      <c r="J2573" s="13">
        <f t="shared" si="93"/>
        <v>256876.6</v>
      </c>
    </row>
    <row r="2574" spans="1:10" x14ac:dyDescent="0.25">
      <c r="A2574" s="10">
        <v>41182</v>
      </c>
      <c r="B2574" s="11" t="s">
        <v>2</v>
      </c>
      <c r="C2574" s="11" t="s">
        <v>5</v>
      </c>
      <c r="D2574" s="16" t="str">
        <f>HYPERLINK("https://freddywills.com/pick/2640/panthers-7-5-115.html", "Panthers +7.5 -115")</f>
        <v>Panthers +7.5 -115</v>
      </c>
      <c r="E2574" s="11">
        <v>5.5</v>
      </c>
      <c r="F2574" s="11">
        <v>-1.1499999999999999</v>
      </c>
      <c r="G2574" s="11" t="s">
        <v>4</v>
      </c>
      <c r="H2574" s="13">
        <v>4782.6099999999997</v>
      </c>
      <c r="I2574" s="14">
        <f t="shared" si="92"/>
        <v>0.55336219999999992</v>
      </c>
      <c r="J2574" s="13">
        <f t="shared" si="93"/>
        <v>253959.93</v>
      </c>
    </row>
    <row r="2575" spans="1:10" x14ac:dyDescent="0.25">
      <c r="A2575" s="10">
        <v>41182</v>
      </c>
      <c r="B2575" s="11" t="s">
        <v>2</v>
      </c>
      <c r="C2575" s="11" t="s">
        <v>5</v>
      </c>
      <c r="D2575" s="16" t="str">
        <f>HYPERLINK("https://freddywills.com/pick/2641/dolphins-4-5.html", "Dolphins +4.5")</f>
        <v>Dolphins +4.5</v>
      </c>
      <c r="E2575" s="11">
        <v>4.4000000000000004</v>
      </c>
      <c r="F2575" s="11">
        <v>-1.1000000000000001</v>
      </c>
      <c r="G2575" s="11" t="s">
        <v>4</v>
      </c>
      <c r="H2575" s="13">
        <v>4000</v>
      </c>
      <c r="I2575" s="14">
        <f t="shared" ref="I2575:I2638" si="94">(H2575/100000)+I2576</f>
        <v>0.50553609999999993</v>
      </c>
      <c r="J2575" s="13">
        <f t="shared" ref="J2575:J2638" si="95">H2575+J2576</f>
        <v>249177.32</v>
      </c>
    </row>
    <row r="2576" spans="1:10" x14ac:dyDescent="0.25">
      <c r="A2576" s="10">
        <v>41181</v>
      </c>
      <c r="B2576" s="11" t="s">
        <v>8</v>
      </c>
      <c r="C2576" s="11" t="s">
        <v>5</v>
      </c>
      <c r="D2576" s="16" t="str">
        <f>HYPERLINK("https://freddywills.com/pick/2642/wisconsin-11-5.html", "Wisconsin +11.5")</f>
        <v>Wisconsin +11.5</v>
      </c>
      <c r="E2576" s="11">
        <v>3.3</v>
      </c>
      <c r="F2576" s="11">
        <v>-1.1000000000000001</v>
      </c>
      <c r="G2576" s="11" t="s">
        <v>4</v>
      </c>
      <c r="H2576" s="13">
        <v>3000</v>
      </c>
      <c r="I2576" s="14">
        <f t="shared" si="94"/>
        <v>0.4655360999999999</v>
      </c>
      <c r="J2576" s="13">
        <f t="shared" si="95"/>
        <v>245177.32</v>
      </c>
    </row>
    <row r="2577" spans="1:10" x14ac:dyDescent="0.25">
      <c r="A2577" s="10">
        <v>41181</v>
      </c>
      <c r="B2577" s="11" t="s">
        <v>8</v>
      </c>
      <c r="C2577" s="11" t="s">
        <v>5</v>
      </c>
      <c r="D2577" s="16" t="str">
        <f>HYPERLINK("https://freddywills.com/pick/2643/south-florida-17-5.html", "South Florida +17.5")</f>
        <v>South Florida +17.5</v>
      </c>
      <c r="E2577" s="11">
        <v>3.3</v>
      </c>
      <c r="F2577" s="11">
        <v>-1.1000000000000001</v>
      </c>
      <c r="G2577" s="11" t="s">
        <v>4</v>
      </c>
      <c r="H2577" s="13">
        <v>3000</v>
      </c>
      <c r="I2577" s="14">
        <f t="shared" si="94"/>
        <v>0.43553609999999987</v>
      </c>
      <c r="J2577" s="13">
        <f t="shared" si="95"/>
        <v>242177.32</v>
      </c>
    </row>
    <row r="2578" spans="1:10" x14ac:dyDescent="0.25">
      <c r="A2578" s="10">
        <v>41181</v>
      </c>
      <c r="B2578" s="11" t="s">
        <v>8</v>
      </c>
      <c r="C2578" s="11" t="s">
        <v>5</v>
      </c>
      <c r="D2578" s="16" t="str">
        <f>HYPERLINK("https://freddywills.com/pick/2644/arizona-state-pk.html", "Arizona State pk")</f>
        <v>Arizona State pk</v>
      </c>
      <c r="E2578" s="11">
        <v>4.4000000000000004</v>
      </c>
      <c r="F2578" s="11">
        <v>-1.1000000000000001</v>
      </c>
      <c r="G2578" s="11" t="s">
        <v>4</v>
      </c>
      <c r="H2578" s="13">
        <v>4000</v>
      </c>
      <c r="I2578" s="14">
        <f t="shared" si="94"/>
        <v>0.4055360999999999</v>
      </c>
      <c r="J2578" s="13">
        <f t="shared" si="95"/>
        <v>239177.32</v>
      </c>
    </row>
    <row r="2579" spans="1:10" x14ac:dyDescent="0.25">
      <c r="A2579" s="10">
        <v>41181</v>
      </c>
      <c r="B2579" s="11" t="s">
        <v>8</v>
      </c>
      <c r="C2579" s="11" t="s">
        <v>5</v>
      </c>
      <c r="D2579" s="16" t="str">
        <f>HYPERLINK("https://freddywills.com/pick/2645/michigan-state-2-5.html", "Michigan State -2.5")</f>
        <v>Michigan State -2.5</v>
      </c>
      <c r="E2579" s="11">
        <v>5.5</v>
      </c>
      <c r="F2579" s="11">
        <v>-1.1000000000000001</v>
      </c>
      <c r="G2579" s="11" t="s">
        <v>6</v>
      </c>
      <c r="H2579" s="13">
        <v>-5500</v>
      </c>
      <c r="I2579" s="14">
        <f t="shared" si="94"/>
        <v>0.36553609999999992</v>
      </c>
      <c r="J2579" s="13">
        <f t="shared" si="95"/>
        <v>235177.32</v>
      </c>
    </row>
    <row r="2580" spans="1:10" x14ac:dyDescent="0.25">
      <c r="A2580" s="10">
        <v>41181</v>
      </c>
      <c r="B2580" s="11" t="s">
        <v>8</v>
      </c>
      <c r="C2580" s="11" t="s">
        <v>5</v>
      </c>
      <c r="D2580" s="16" t="str">
        <f>HYPERLINK("https://freddywills.com/pick/2646/kent-state-3-115.html", "Kent State +3 -115")</f>
        <v>Kent State +3 -115</v>
      </c>
      <c r="E2580" s="11">
        <v>2.5</v>
      </c>
      <c r="F2580" s="11">
        <v>-1.1499999999999999</v>
      </c>
      <c r="G2580" s="11" t="s">
        <v>4</v>
      </c>
      <c r="H2580" s="13">
        <v>2173.91</v>
      </c>
      <c r="I2580" s="14">
        <f t="shared" si="94"/>
        <v>0.42053609999999991</v>
      </c>
      <c r="J2580" s="13">
        <f t="shared" si="95"/>
        <v>240677.32</v>
      </c>
    </row>
    <row r="2581" spans="1:10" x14ac:dyDescent="0.25">
      <c r="A2581" s="10">
        <v>41181</v>
      </c>
      <c r="B2581" s="11" t="s">
        <v>8</v>
      </c>
      <c r="C2581" s="11" t="s">
        <v>5</v>
      </c>
      <c r="D2581" s="16" t="str">
        <f>HYPERLINK("https://freddywills.com/pick/2647/western-kentucky-2-5.html", "Western Kentucky -2.5")</f>
        <v>Western Kentucky -2.5</v>
      </c>
      <c r="E2581" s="11">
        <v>1.1000000000000001</v>
      </c>
      <c r="F2581" s="11">
        <v>-1.1000000000000001</v>
      </c>
      <c r="G2581" s="11" t="s">
        <v>4</v>
      </c>
      <c r="H2581" s="13">
        <v>1000</v>
      </c>
      <c r="I2581" s="14">
        <f t="shared" si="94"/>
        <v>0.3987969999999999</v>
      </c>
      <c r="J2581" s="13">
        <f t="shared" si="95"/>
        <v>238503.41</v>
      </c>
    </row>
    <row r="2582" spans="1:10" x14ac:dyDescent="0.25">
      <c r="A2582" s="10">
        <v>41181</v>
      </c>
      <c r="B2582" s="11" t="s">
        <v>8</v>
      </c>
      <c r="C2582" s="11" t="s">
        <v>5</v>
      </c>
      <c r="D2582" s="16" t="str">
        <f>HYPERLINK("https://freddywills.com/pick/2649/arizona-2-5.html", "Arizona -2.5")</f>
        <v>Arizona -2.5</v>
      </c>
      <c r="E2582" s="11">
        <v>4</v>
      </c>
      <c r="F2582" s="11">
        <v>-1.1000000000000001</v>
      </c>
      <c r="G2582" s="11" t="s">
        <v>6</v>
      </c>
      <c r="H2582" s="13">
        <v>-4000</v>
      </c>
      <c r="I2582" s="14">
        <f t="shared" si="94"/>
        <v>0.38879699999999989</v>
      </c>
      <c r="J2582" s="13">
        <f t="shared" si="95"/>
        <v>237503.41</v>
      </c>
    </row>
    <row r="2583" spans="1:10" x14ac:dyDescent="0.25">
      <c r="A2583" s="10">
        <v>41180</v>
      </c>
      <c r="B2583" s="11" t="s">
        <v>8</v>
      </c>
      <c r="C2583" s="11" t="s">
        <v>7</v>
      </c>
      <c r="D2583" s="16" t="str">
        <f>HYPERLINK("https://freddywills.com/pick/2650/byu-haw-u49-5.html", "BYU/HAW U49.5")</f>
        <v>BYU/HAW U49.5</v>
      </c>
      <c r="E2583" s="11">
        <v>3.3</v>
      </c>
      <c r="F2583" s="11">
        <v>-1.1000000000000001</v>
      </c>
      <c r="G2583" s="11" t="s">
        <v>4</v>
      </c>
      <c r="H2583" s="13">
        <v>3000</v>
      </c>
      <c r="I2583" s="14">
        <f t="shared" si="94"/>
        <v>0.42879699999999987</v>
      </c>
      <c r="J2583" s="13">
        <f t="shared" si="95"/>
        <v>241503.41</v>
      </c>
    </row>
    <row r="2584" spans="1:10" x14ac:dyDescent="0.25">
      <c r="A2584" s="10">
        <v>41179</v>
      </c>
      <c r="B2584" s="11" t="s">
        <v>8</v>
      </c>
      <c r="C2584" s="11" t="s">
        <v>5</v>
      </c>
      <c r="D2584" s="16" t="str">
        <f>HYPERLINK("https://freddywills.com/pick/2651/washington-7-120.html", "Washington +7 -120")</f>
        <v>Washington +7 -120</v>
      </c>
      <c r="E2584" s="11">
        <v>4</v>
      </c>
      <c r="F2584" s="11">
        <v>-1.2</v>
      </c>
      <c r="G2584" s="11" t="s">
        <v>4</v>
      </c>
      <c r="H2584" s="13">
        <v>3333.33</v>
      </c>
      <c r="I2584" s="14">
        <f t="shared" si="94"/>
        <v>0.3987969999999999</v>
      </c>
      <c r="J2584" s="13">
        <f t="shared" si="95"/>
        <v>238503.41</v>
      </c>
    </row>
    <row r="2585" spans="1:10" x14ac:dyDescent="0.25">
      <c r="A2585" s="10">
        <v>41179</v>
      </c>
      <c r="B2585" s="11" t="s">
        <v>8</v>
      </c>
      <c r="C2585" s="11" t="s">
        <v>7</v>
      </c>
      <c r="D2585" s="16" t="str">
        <f>HYPERLINK("https://freddywills.com/pick/2652/wsh-stan-u47-5.html", "WSH/STAN U47.5")</f>
        <v>WSH/STAN U47.5</v>
      </c>
      <c r="E2585" s="11">
        <v>1.1000000000000001</v>
      </c>
      <c r="F2585" s="11">
        <v>-1.1000000000000001</v>
      </c>
      <c r="G2585" s="11" t="s">
        <v>4</v>
      </c>
      <c r="H2585" s="13">
        <v>1000</v>
      </c>
      <c r="I2585" s="14">
        <f t="shared" si="94"/>
        <v>0.36546369999999989</v>
      </c>
      <c r="J2585" s="13">
        <f t="shared" si="95"/>
        <v>235170.08000000002</v>
      </c>
    </row>
    <row r="2586" spans="1:10" x14ac:dyDescent="0.25">
      <c r="A2586" s="10">
        <v>41179</v>
      </c>
      <c r="B2586" s="11" t="s">
        <v>2</v>
      </c>
      <c r="C2586" s="11" t="s">
        <v>10</v>
      </c>
      <c r="D2586" s="16" t="str">
        <f>HYPERLINK("https://freddywills.com/pick/2653/ravens-5-5-o37-5.html", "Ravens -5.5/O37.5")</f>
        <v>Ravens -5.5/O37.5</v>
      </c>
      <c r="E2586" s="11">
        <v>4.4000000000000004</v>
      </c>
      <c r="F2586" s="11">
        <v>-1.1000000000000001</v>
      </c>
      <c r="G2586" s="11" t="s">
        <v>4</v>
      </c>
      <c r="H2586" s="13">
        <v>4000</v>
      </c>
      <c r="I2586" s="14">
        <f t="shared" si="94"/>
        <v>0.35546369999999988</v>
      </c>
      <c r="J2586" s="13">
        <f t="shared" si="95"/>
        <v>234170.08000000002</v>
      </c>
    </row>
    <row r="2587" spans="1:10" x14ac:dyDescent="0.25">
      <c r="A2587" s="10">
        <v>41176</v>
      </c>
      <c r="B2587" s="11" t="s">
        <v>2</v>
      </c>
      <c r="C2587" s="11" t="s">
        <v>5</v>
      </c>
      <c r="D2587" s="16" t="str">
        <f>HYPERLINK("https://freddywills.com/pick/2658/seahawks-3-5.html", "Seahawks +3.5")</f>
        <v>Seahawks +3.5</v>
      </c>
      <c r="E2587" s="11">
        <v>4.4000000000000004</v>
      </c>
      <c r="F2587" s="11">
        <v>-1.1000000000000001</v>
      </c>
      <c r="G2587" s="11" t="s">
        <v>4</v>
      </c>
      <c r="H2587" s="13">
        <v>4000</v>
      </c>
      <c r="I2587" s="14">
        <f t="shared" si="94"/>
        <v>0.3154636999999999</v>
      </c>
      <c r="J2587" s="13">
        <f t="shared" si="95"/>
        <v>230170.08000000002</v>
      </c>
    </row>
    <row r="2588" spans="1:10" x14ac:dyDescent="0.25">
      <c r="A2588" s="10">
        <v>41176</v>
      </c>
      <c r="B2588" s="11" t="s">
        <v>8</v>
      </c>
      <c r="C2588" s="11" t="s">
        <v>5</v>
      </c>
      <c r="D2588" s="16" t="str">
        <f>HYPERLINK("https://freddywills.com/pick/2659/arizona-23-5.html", "Arizona +23.5")</f>
        <v>Arizona +23.5</v>
      </c>
      <c r="E2588" s="11">
        <v>2.2000000000000002</v>
      </c>
      <c r="F2588" s="11">
        <v>-1.1000000000000001</v>
      </c>
      <c r="G2588" s="11" t="s">
        <v>6</v>
      </c>
      <c r="H2588" s="13">
        <v>-2200</v>
      </c>
      <c r="I2588" s="14">
        <f t="shared" si="94"/>
        <v>0.27546369999999992</v>
      </c>
      <c r="J2588" s="13">
        <f t="shared" si="95"/>
        <v>226170.08000000002</v>
      </c>
    </row>
    <row r="2589" spans="1:10" x14ac:dyDescent="0.25">
      <c r="A2589" s="10">
        <v>41175</v>
      </c>
      <c r="B2589" s="11" t="s">
        <v>2</v>
      </c>
      <c r="C2589" s="11" t="s">
        <v>5</v>
      </c>
      <c r="D2589" s="16" t="str">
        <f>HYPERLINK("https://freddywills.com/pick/2660/raiders-4.html", "Raiders +4")</f>
        <v>Raiders +4</v>
      </c>
      <c r="E2589" s="11">
        <v>5.5</v>
      </c>
      <c r="F2589" s="11">
        <v>-1.1000000000000001</v>
      </c>
      <c r="G2589" s="11" t="s">
        <v>4</v>
      </c>
      <c r="H2589" s="13">
        <v>5000</v>
      </c>
      <c r="I2589" s="14">
        <f t="shared" si="94"/>
        <v>0.29746369999999994</v>
      </c>
      <c r="J2589" s="13">
        <f t="shared" si="95"/>
        <v>228370.08000000002</v>
      </c>
    </row>
    <row r="2590" spans="1:10" x14ac:dyDescent="0.25">
      <c r="A2590" s="10">
        <v>41175</v>
      </c>
      <c r="B2590" s="11" t="s">
        <v>2</v>
      </c>
      <c r="C2590" s="11" t="s">
        <v>5</v>
      </c>
      <c r="D2590" s="16" t="str">
        <f>HYPERLINK("https://freddywills.com/pick/2661/chiefs-9.html", "Chiefs +9")</f>
        <v>Chiefs +9</v>
      </c>
      <c r="E2590" s="11">
        <v>3.3</v>
      </c>
      <c r="F2590" s="11">
        <v>-1.1000000000000001</v>
      </c>
      <c r="G2590" s="11" t="s">
        <v>4</v>
      </c>
      <c r="H2590" s="13">
        <v>3000</v>
      </c>
      <c r="I2590" s="14">
        <f t="shared" si="94"/>
        <v>0.24746369999999995</v>
      </c>
      <c r="J2590" s="13">
        <f t="shared" si="95"/>
        <v>223370.08000000002</v>
      </c>
    </row>
    <row r="2591" spans="1:10" x14ac:dyDescent="0.25">
      <c r="A2591" s="10">
        <v>41175</v>
      </c>
      <c r="B2591" s="11" t="s">
        <v>2</v>
      </c>
      <c r="C2591" s="11" t="s">
        <v>5</v>
      </c>
      <c r="D2591" s="16" t="str">
        <f>HYPERLINK("https://freddywills.com/pick/2662/patriots-3.html", "Patriots +3")</f>
        <v>Patriots +3</v>
      </c>
      <c r="E2591" s="11">
        <v>3.3</v>
      </c>
      <c r="F2591" s="11">
        <v>-1.1000000000000001</v>
      </c>
      <c r="G2591" s="11" t="s">
        <v>4</v>
      </c>
      <c r="H2591" s="13">
        <v>3000</v>
      </c>
      <c r="I2591" s="14">
        <f t="shared" si="94"/>
        <v>0.21746369999999995</v>
      </c>
      <c r="J2591" s="13">
        <f t="shared" si="95"/>
        <v>220370.08000000002</v>
      </c>
    </row>
    <row r="2592" spans="1:10" x14ac:dyDescent="0.25">
      <c r="A2592" s="10">
        <v>41174</v>
      </c>
      <c r="B2592" s="11" t="s">
        <v>8</v>
      </c>
      <c r="C2592" s="11" t="s">
        <v>5</v>
      </c>
      <c r="D2592" s="16" t="str">
        <f>HYPERLINK("https://freddywills.com/pick/2663/army-7.html", "Army +7")</f>
        <v>Army +7</v>
      </c>
      <c r="E2592" s="11">
        <v>3.3</v>
      </c>
      <c r="F2592" s="11">
        <v>-1.1000000000000001</v>
      </c>
      <c r="G2592" s="11" t="s">
        <v>6</v>
      </c>
      <c r="H2592" s="13">
        <v>-3300</v>
      </c>
      <c r="I2592" s="14">
        <f t="shared" si="94"/>
        <v>0.18746369999999996</v>
      </c>
      <c r="J2592" s="13">
        <f t="shared" si="95"/>
        <v>217370.08000000002</v>
      </c>
    </row>
    <row r="2593" spans="1:10" x14ac:dyDescent="0.25">
      <c r="A2593" s="10">
        <v>41174</v>
      </c>
      <c r="B2593" s="11" t="s">
        <v>8</v>
      </c>
      <c r="C2593" s="11" t="s">
        <v>5</v>
      </c>
      <c r="D2593" s="16" t="str">
        <f>HYPERLINK("https://freddywills.com/pick/2664/missouri-10-5.html", "Missouri +10.5")</f>
        <v>Missouri +10.5</v>
      </c>
      <c r="E2593" s="11">
        <v>3.3</v>
      </c>
      <c r="F2593" s="11">
        <v>-1.1000000000000001</v>
      </c>
      <c r="G2593" s="11" t="s">
        <v>6</v>
      </c>
      <c r="H2593" s="13">
        <v>-3300</v>
      </c>
      <c r="I2593" s="14">
        <f t="shared" si="94"/>
        <v>0.22046369999999996</v>
      </c>
      <c r="J2593" s="13">
        <f t="shared" si="95"/>
        <v>220670.08000000002</v>
      </c>
    </row>
    <row r="2594" spans="1:10" x14ac:dyDescent="0.25">
      <c r="A2594" s="10">
        <v>41174</v>
      </c>
      <c r="B2594" s="11" t="s">
        <v>8</v>
      </c>
      <c r="C2594" s="11" t="s">
        <v>5</v>
      </c>
      <c r="D2594" s="16" t="str">
        <f>HYPERLINK("https://freddywills.com/pick/2665/temple-7.html", "Temple +7")</f>
        <v>Temple +7</v>
      </c>
      <c r="E2594" s="11">
        <v>3.3</v>
      </c>
      <c r="F2594" s="11">
        <v>-1.1000000000000001</v>
      </c>
      <c r="G2594" s="11" t="s">
        <v>6</v>
      </c>
      <c r="H2594" s="13">
        <v>-3300</v>
      </c>
      <c r="I2594" s="14">
        <f t="shared" si="94"/>
        <v>0.25346369999999996</v>
      </c>
      <c r="J2594" s="13">
        <f t="shared" si="95"/>
        <v>223970.08000000002</v>
      </c>
    </row>
    <row r="2595" spans="1:10" x14ac:dyDescent="0.25">
      <c r="A2595" s="10">
        <v>41174</v>
      </c>
      <c r="B2595" s="11" t="s">
        <v>8</v>
      </c>
      <c r="C2595" s="11" t="s">
        <v>5</v>
      </c>
      <c r="D2595" s="16" t="str">
        <f>HYPERLINK("https://freddywills.com/pick/2666/duke-23-5.html", "Duke -23.5")</f>
        <v>Duke -23.5</v>
      </c>
      <c r="E2595" s="11">
        <v>2.2000000000000002</v>
      </c>
      <c r="F2595" s="11">
        <v>-1.1000000000000001</v>
      </c>
      <c r="G2595" s="11" t="s">
        <v>4</v>
      </c>
      <c r="H2595" s="13">
        <v>2000</v>
      </c>
      <c r="I2595" s="14">
        <f t="shared" si="94"/>
        <v>0.28646369999999999</v>
      </c>
      <c r="J2595" s="13">
        <f t="shared" si="95"/>
        <v>227270.08000000002</v>
      </c>
    </row>
    <row r="2596" spans="1:10" x14ac:dyDescent="0.25">
      <c r="A2596" s="10">
        <v>41174</v>
      </c>
      <c r="B2596" s="11" t="s">
        <v>8</v>
      </c>
      <c r="C2596" s="11" t="s">
        <v>5</v>
      </c>
      <c r="D2596" s="16" t="str">
        <f>HYPERLINK("https://freddywills.com/pick/2667/kansas-10-120.html", "Kansas +10 -120")</f>
        <v>Kansas +10 -120</v>
      </c>
      <c r="E2596" s="11">
        <v>2.5</v>
      </c>
      <c r="F2596" s="11">
        <v>-1.2</v>
      </c>
      <c r="G2596" s="11" t="s">
        <v>4</v>
      </c>
      <c r="H2596" s="13">
        <v>2083.33</v>
      </c>
      <c r="I2596" s="14">
        <f t="shared" si="94"/>
        <v>0.26646369999999997</v>
      </c>
      <c r="J2596" s="13">
        <f t="shared" si="95"/>
        <v>225270.08000000002</v>
      </c>
    </row>
    <row r="2597" spans="1:10" x14ac:dyDescent="0.25">
      <c r="A2597" s="10">
        <v>41174</v>
      </c>
      <c r="B2597" s="11" t="s">
        <v>8</v>
      </c>
      <c r="C2597" s="11" t="s">
        <v>5</v>
      </c>
      <c r="D2597" s="16" t="str">
        <f>HYPERLINK("https://freddywills.com/pick/2668/utah-7-5.html", "Utah +7.5")</f>
        <v>Utah +7.5</v>
      </c>
      <c r="E2597" s="11">
        <v>5.5</v>
      </c>
      <c r="F2597" s="11">
        <v>-1.1000000000000001</v>
      </c>
      <c r="G2597" s="11" t="s">
        <v>6</v>
      </c>
      <c r="H2597" s="13">
        <v>-5500</v>
      </c>
      <c r="I2597" s="14">
        <f t="shared" si="94"/>
        <v>0.24563039999999997</v>
      </c>
      <c r="J2597" s="13">
        <f t="shared" si="95"/>
        <v>223186.75000000003</v>
      </c>
    </row>
    <row r="2598" spans="1:10" x14ac:dyDescent="0.25">
      <c r="A2598" s="10">
        <v>41174</v>
      </c>
      <c r="B2598" s="11" t="s">
        <v>8</v>
      </c>
      <c r="C2598" s="11" t="s">
        <v>5</v>
      </c>
      <c r="D2598" s="16" t="str">
        <f>HYPERLINK("https://freddywills.com/pick/2669/hawaii-8.html", "Hawaii +8")</f>
        <v>Hawaii +8</v>
      </c>
      <c r="E2598" s="11">
        <v>3.3</v>
      </c>
      <c r="F2598" s="11">
        <v>-1.1000000000000001</v>
      </c>
      <c r="G2598" s="11" t="s">
        <v>6</v>
      </c>
      <c r="H2598" s="13">
        <v>-3300</v>
      </c>
      <c r="I2598" s="14">
        <f t="shared" si="94"/>
        <v>0.30063039999999996</v>
      </c>
      <c r="J2598" s="13">
        <f t="shared" si="95"/>
        <v>228686.75000000003</v>
      </c>
    </row>
    <row r="2599" spans="1:10" x14ac:dyDescent="0.25">
      <c r="A2599" s="10">
        <v>41174</v>
      </c>
      <c r="B2599" s="11" t="s">
        <v>8</v>
      </c>
      <c r="C2599" s="11" t="s">
        <v>18</v>
      </c>
      <c r="D2599" s="16" t="str">
        <f>HYPERLINK("https://freddywills.com/pick/2670/hawaii-255.html", "Hawaii +255")</f>
        <v>Hawaii +255</v>
      </c>
      <c r="E2599" s="11">
        <v>1</v>
      </c>
      <c r="F2599" s="11">
        <v>2.5499999999999998</v>
      </c>
      <c r="G2599" s="11" t="s">
        <v>6</v>
      </c>
      <c r="H2599" s="13">
        <v>-1000</v>
      </c>
      <c r="I2599" s="14">
        <f t="shared" si="94"/>
        <v>0.33363039999999999</v>
      </c>
      <c r="J2599" s="13">
        <f t="shared" si="95"/>
        <v>231986.75000000003</v>
      </c>
    </row>
    <row r="2600" spans="1:10" x14ac:dyDescent="0.25">
      <c r="A2600" s="10">
        <v>41173</v>
      </c>
      <c r="B2600" s="11" t="s">
        <v>8</v>
      </c>
      <c r="C2600" s="11" t="s">
        <v>5</v>
      </c>
      <c r="D2600" s="16" t="str">
        <f>HYPERLINK("https://freddywills.com/pick/2672/la-monroe-7-5.html", "La Monroe +7.5")</f>
        <v>La Monroe +7.5</v>
      </c>
      <c r="E2600" s="11">
        <v>3.3</v>
      </c>
      <c r="F2600" s="11">
        <v>-1.1000000000000001</v>
      </c>
      <c r="G2600" s="11" t="s">
        <v>4</v>
      </c>
      <c r="H2600" s="13">
        <v>3000</v>
      </c>
      <c r="I2600" s="14">
        <f t="shared" si="94"/>
        <v>0.3436304</v>
      </c>
      <c r="J2600" s="13">
        <f t="shared" si="95"/>
        <v>232986.75000000003</v>
      </c>
    </row>
    <row r="2601" spans="1:10" x14ac:dyDescent="0.25">
      <c r="A2601" s="10">
        <v>41172</v>
      </c>
      <c r="B2601" s="11" t="s">
        <v>8</v>
      </c>
      <c r="C2601" s="11" t="s">
        <v>5</v>
      </c>
      <c r="D2601" s="16" t="str">
        <f>HYPERLINK("https://freddywills.com/pick/2674/byu-7.html", "BYU +7")</f>
        <v>BYU +7</v>
      </c>
      <c r="E2601" s="11">
        <v>4.4000000000000004</v>
      </c>
      <c r="F2601" s="11">
        <v>-1.1000000000000001</v>
      </c>
      <c r="G2601" s="11" t="s">
        <v>4</v>
      </c>
      <c r="H2601" s="13">
        <v>4000</v>
      </c>
      <c r="I2601" s="14">
        <f t="shared" si="94"/>
        <v>0.31363040000000003</v>
      </c>
      <c r="J2601" s="13">
        <f t="shared" si="95"/>
        <v>229986.75000000003</v>
      </c>
    </row>
    <row r="2602" spans="1:10" x14ac:dyDescent="0.25">
      <c r="A2602" s="10">
        <v>41172</v>
      </c>
      <c r="B2602" s="11" t="s">
        <v>2</v>
      </c>
      <c r="C2602" s="11" t="s">
        <v>7</v>
      </c>
      <c r="D2602" s="16" t="str">
        <f>HYPERLINK("https://freddywills.com/pick/2675/nyg-car-u50.html", "NYG/CAR U50")</f>
        <v>NYG/CAR U50</v>
      </c>
      <c r="E2602" s="11">
        <v>4.4000000000000004</v>
      </c>
      <c r="F2602" s="11">
        <v>-1.1000000000000001</v>
      </c>
      <c r="G2602" s="11" t="s">
        <v>4</v>
      </c>
      <c r="H2602" s="13">
        <v>4000</v>
      </c>
      <c r="I2602" s="14">
        <f t="shared" si="94"/>
        <v>0.27363040000000005</v>
      </c>
      <c r="J2602" s="13">
        <f t="shared" si="95"/>
        <v>225986.75000000003</v>
      </c>
    </row>
    <row r="2603" spans="1:10" x14ac:dyDescent="0.25">
      <c r="A2603" s="10">
        <v>41171</v>
      </c>
      <c r="B2603" s="11" t="s">
        <v>8</v>
      </c>
      <c r="C2603" s="11" t="s">
        <v>5</v>
      </c>
      <c r="D2603" s="16" t="str">
        <f>HYPERLINK("https://freddywills.com/pick/2676/kent-state-4.html", "Kent State +4")</f>
        <v>Kent State +4</v>
      </c>
      <c r="E2603" s="11">
        <v>4.4000000000000004</v>
      </c>
      <c r="F2603" s="11">
        <v>-1.1000000000000001</v>
      </c>
      <c r="G2603" s="11" t="s">
        <v>4</v>
      </c>
      <c r="H2603" s="13">
        <v>4000</v>
      </c>
      <c r="I2603" s="14">
        <f t="shared" si="94"/>
        <v>0.23363040000000007</v>
      </c>
      <c r="J2603" s="13">
        <f t="shared" si="95"/>
        <v>221986.75000000003</v>
      </c>
    </row>
    <row r="2604" spans="1:10" x14ac:dyDescent="0.25">
      <c r="A2604" s="10">
        <v>41169</v>
      </c>
      <c r="B2604" s="11" t="s">
        <v>2</v>
      </c>
      <c r="C2604" s="11" t="s">
        <v>5</v>
      </c>
      <c r="D2604" s="16" t="str">
        <f>HYPERLINK("https://freddywills.com/pick/2679/broncos-3-5.html", "Broncos +3.5")</f>
        <v>Broncos +3.5</v>
      </c>
      <c r="E2604" s="11">
        <v>5.5</v>
      </c>
      <c r="F2604" s="11">
        <v>-1.1000000000000001</v>
      </c>
      <c r="G2604" s="11" t="s">
        <v>6</v>
      </c>
      <c r="H2604" s="13">
        <v>-5500</v>
      </c>
      <c r="I2604" s="14">
        <f t="shared" si="94"/>
        <v>0.19363040000000006</v>
      </c>
      <c r="J2604" s="13">
        <f t="shared" si="95"/>
        <v>217986.75000000003</v>
      </c>
    </row>
    <row r="2605" spans="1:10" x14ac:dyDescent="0.25">
      <c r="A2605" s="10">
        <v>41168</v>
      </c>
      <c r="B2605" s="11" t="s">
        <v>2</v>
      </c>
      <c r="C2605" s="11" t="s">
        <v>5</v>
      </c>
      <c r="D2605" s="16" t="str">
        <f>HYPERLINK("https://freddywills.com/pick/2681/panthers-3.html", "Panthers +3")</f>
        <v>Panthers +3</v>
      </c>
      <c r="E2605" s="11">
        <v>3.3</v>
      </c>
      <c r="F2605" s="11">
        <v>-1.1000000000000001</v>
      </c>
      <c r="G2605" s="11" t="s">
        <v>4</v>
      </c>
      <c r="H2605" s="13">
        <v>3000</v>
      </c>
      <c r="I2605" s="14">
        <f t="shared" si="94"/>
        <v>0.24863040000000006</v>
      </c>
      <c r="J2605" s="13">
        <f t="shared" si="95"/>
        <v>223486.75000000003</v>
      </c>
    </row>
    <row r="2606" spans="1:10" x14ac:dyDescent="0.25">
      <c r="A2606" s="10">
        <v>41168</v>
      </c>
      <c r="B2606" s="11" t="s">
        <v>2</v>
      </c>
      <c r="C2606" s="11" t="s">
        <v>5</v>
      </c>
      <c r="D2606" s="16" t="str">
        <f>HYPERLINK("https://freddywills.com/pick/2682/eagles-1.html", "Eagles -1")</f>
        <v>Eagles -1</v>
      </c>
      <c r="E2606" s="11">
        <v>1.1000000000000001</v>
      </c>
      <c r="F2606" s="11">
        <v>-1.1000000000000001</v>
      </c>
      <c r="G2606" s="11" t="s">
        <v>4</v>
      </c>
      <c r="H2606" s="13">
        <v>1000</v>
      </c>
      <c r="I2606" s="14">
        <f t="shared" si="94"/>
        <v>0.21863040000000006</v>
      </c>
      <c r="J2606" s="13">
        <f t="shared" si="95"/>
        <v>220486.75000000003</v>
      </c>
    </row>
    <row r="2607" spans="1:10" x14ac:dyDescent="0.25">
      <c r="A2607" s="10">
        <v>41168</v>
      </c>
      <c r="B2607" s="11" t="s">
        <v>2</v>
      </c>
      <c r="C2607" s="11" t="s">
        <v>5</v>
      </c>
      <c r="D2607" s="16" t="str">
        <f>HYPERLINK("https://freddywills.com/pick/2683/titans-7-5-120-buy-1-2-titans-240-1-bonus.html", "Titans +7.5 -120 buy 1/2; Titans +240 1* bonus")</f>
        <v>Titans +7.5 -120 buy 1/2; Titans +240 1* bonus</v>
      </c>
      <c r="E2607" s="11">
        <v>4.5</v>
      </c>
      <c r="F2607" s="11">
        <v>2.4</v>
      </c>
      <c r="G2607" s="11" t="s">
        <v>6</v>
      </c>
      <c r="H2607" s="13">
        <v>-4500</v>
      </c>
      <c r="I2607" s="14">
        <f t="shared" si="94"/>
        <v>0.20863040000000005</v>
      </c>
      <c r="J2607" s="13">
        <f t="shared" si="95"/>
        <v>219486.75000000003</v>
      </c>
    </row>
    <row r="2608" spans="1:10" x14ac:dyDescent="0.25">
      <c r="A2608" s="10">
        <v>41168</v>
      </c>
      <c r="B2608" s="11" t="s">
        <v>2</v>
      </c>
      <c r="C2608" s="11" t="s">
        <v>5</v>
      </c>
      <c r="D2608" s="16" t="str">
        <f>HYPERLINK("https://freddywills.com/pick/2684/rams-3-5.html", "Rams +3.5")</f>
        <v>Rams +3.5</v>
      </c>
      <c r="E2608" s="11">
        <v>5.5</v>
      </c>
      <c r="F2608" s="11">
        <v>-1.1000000000000001</v>
      </c>
      <c r="G2608" s="11" t="s">
        <v>4</v>
      </c>
      <c r="H2608" s="13">
        <v>5000</v>
      </c>
      <c r="I2608" s="14">
        <f t="shared" si="94"/>
        <v>0.25363040000000003</v>
      </c>
      <c r="J2608" s="13">
        <f t="shared" si="95"/>
        <v>223986.75000000003</v>
      </c>
    </row>
    <row r="2609" spans="1:10" x14ac:dyDescent="0.25">
      <c r="A2609" s="10">
        <v>41167</v>
      </c>
      <c r="B2609" s="11" t="s">
        <v>8</v>
      </c>
      <c r="C2609" s="11" t="s">
        <v>5</v>
      </c>
      <c r="D2609" s="16" t="str">
        <f>HYPERLINK("https://freddywills.com/pick/2685/purdue-23-5.html", "Purdue -23.5")</f>
        <v>Purdue -23.5</v>
      </c>
      <c r="E2609" s="11">
        <v>3.3</v>
      </c>
      <c r="F2609" s="11">
        <v>-1.1000000000000001</v>
      </c>
      <c r="G2609" s="11" t="s">
        <v>4</v>
      </c>
      <c r="H2609" s="13">
        <v>3000</v>
      </c>
      <c r="I2609" s="14">
        <f t="shared" si="94"/>
        <v>0.20363040000000002</v>
      </c>
      <c r="J2609" s="13">
        <f t="shared" si="95"/>
        <v>218986.75000000003</v>
      </c>
    </row>
    <row r="2610" spans="1:10" x14ac:dyDescent="0.25">
      <c r="A2610" s="10">
        <v>41167</v>
      </c>
      <c r="B2610" s="11" t="s">
        <v>8</v>
      </c>
      <c r="C2610" s="11" t="s">
        <v>5</v>
      </c>
      <c r="D2610" s="16" t="str">
        <f>HYPERLINK("https://freddywills.com/pick/2687/notre-dame-6.html", "Notre Dame +6")</f>
        <v>Notre Dame +6</v>
      </c>
      <c r="E2610" s="11">
        <v>5.5</v>
      </c>
      <c r="F2610" s="11">
        <v>-1.1000000000000001</v>
      </c>
      <c r="G2610" s="11" t="s">
        <v>4</v>
      </c>
      <c r="H2610" s="13">
        <v>5000</v>
      </c>
      <c r="I2610" s="14">
        <f t="shared" si="94"/>
        <v>0.17363040000000002</v>
      </c>
      <c r="J2610" s="13">
        <f t="shared" si="95"/>
        <v>215986.75000000003</v>
      </c>
    </row>
    <row r="2611" spans="1:10" x14ac:dyDescent="0.25">
      <c r="A2611" s="10">
        <v>41167</v>
      </c>
      <c r="B2611" s="11" t="s">
        <v>8</v>
      </c>
      <c r="C2611" s="11" t="s">
        <v>5</v>
      </c>
      <c r="D2611" s="16" t="str">
        <f>HYPERLINK("https://freddywills.com/pick/2688/utah-state-14.html", "Utah State +14")</f>
        <v>Utah State +14</v>
      </c>
      <c r="E2611" s="11">
        <v>2.2000000000000002</v>
      </c>
      <c r="F2611" s="11">
        <v>-1.1000000000000001</v>
      </c>
      <c r="G2611" s="11" t="s">
        <v>4</v>
      </c>
      <c r="H2611" s="13">
        <v>2000</v>
      </c>
      <c r="I2611" s="14">
        <f t="shared" si="94"/>
        <v>0.12363040000000003</v>
      </c>
      <c r="J2611" s="13">
        <f t="shared" si="95"/>
        <v>210986.75000000003</v>
      </c>
    </row>
    <row r="2612" spans="1:10" x14ac:dyDescent="0.25">
      <c r="A2612" s="10">
        <v>41167</v>
      </c>
      <c r="B2612" s="11" t="s">
        <v>8</v>
      </c>
      <c r="C2612" s="11" t="s">
        <v>18</v>
      </c>
      <c r="D2612" s="16" t="str">
        <f>HYPERLINK("https://freddywills.com/pick/2689/utah-state-415-wow.html", "Utah State +415 WOW")</f>
        <v>Utah State +415 WOW</v>
      </c>
      <c r="E2612" s="11">
        <v>1</v>
      </c>
      <c r="F2612" s="11">
        <v>4.1500000000000004</v>
      </c>
      <c r="G2612" s="11" t="s">
        <v>6</v>
      </c>
      <c r="H2612" s="13">
        <v>-1000</v>
      </c>
      <c r="I2612" s="14">
        <f t="shared" si="94"/>
        <v>0.10363040000000003</v>
      </c>
      <c r="J2612" s="13">
        <f t="shared" si="95"/>
        <v>208986.75000000003</v>
      </c>
    </row>
    <row r="2613" spans="1:10" x14ac:dyDescent="0.25">
      <c r="A2613" s="10">
        <v>41167</v>
      </c>
      <c r="B2613" s="11" t="s">
        <v>8</v>
      </c>
      <c r="C2613" s="11" t="s">
        <v>5</v>
      </c>
      <c r="D2613" s="16" t="str">
        <f>HYPERLINK("https://freddywills.com/pick/2690/utah-3-5.html", "Utah +3.5")</f>
        <v>Utah +3.5</v>
      </c>
      <c r="E2613" s="11">
        <v>4.4000000000000004</v>
      </c>
      <c r="F2613" s="11">
        <v>-1.1000000000000001</v>
      </c>
      <c r="G2613" s="11" t="s">
        <v>4</v>
      </c>
      <c r="H2613" s="13">
        <v>4000</v>
      </c>
      <c r="I2613" s="14">
        <f t="shared" si="94"/>
        <v>0.11363040000000002</v>
      </c>
      <c r="J2613" s="13">
        <f t="shared" si="95"/>
        <v>209986.75000000003</v>
      </c>
    </row>
    <row r="2614" spans="1:10" x14ac:dyDescent="0.25">
      <c r="A2614" s="10">
        <v>41167</v>
      </c>
      <c r="B2614" s="11" t="s">
        <v>8</v>
      </c>
      <c r="C2614" s="11" t="s">
        <v>5</v>
      </c>
      <c r="D2614" s="16" t="str">
        <f>HYPERLINK("https://freddywills.com/pick/2691/tennessee-2-5.html", "Tennessee -2.5")</f>
        <v>Tennessee -2.5</v>
      </c>
      <c r="E2614" s="11">
        <v>3.3</v>
      </c>
      <c r="F2614" s="11">
        <v>-1.1000000000000001</v>
      </c>
      <c r="G2614" s="11" t="s">
        <v>6</v>
      </c>
      <c r="H2614" s="13">
        <v>-3300</v>
      </c>
      <c r="I2614" s="14">
        <f t="shared" si="94"/>
        <v>7.3630400000000013E-2</v>
      </c>
      <c r="J2614" s="13">
        <f t="shared" si="95"/>
        <v>205986.75000000003</v>
      </c>
    </row>
    <row r="2615" spans="1:10" x14ac:dyDescent="0.25">
      <c r="A2615" s="10">
        <v>41167</v>
      </c>
      <c r="B2615" s="11" t="s">
        <v>8</v>
      </c>
      <c r="C2615" s="11" t="s">
        <v>5</v>
      </c>
      <c r="D2615" s="16" t="str">
        <f>HYPERLINK("https://freddywills.com/pick/2692/navy-7.html", "Navy +7")</f>
        <v>Navy +7</v>
      </c>
      <c r="E2615" s="11">
        <v>1.1000000000000001</v>
      </c>
      <c r="F2615" s="11">
        <v>-1.1000000000000001</v>
      </c>
      <c r="G2615" s="11" t="s">
        <v>6</v>
      </c>
      <c r="H2615" s="13">
        <v>-1100</v>
      </c>
      <c r="I2615" s="14">
        <f t="shared" si="94"/>
        <v>0.10663040000000001</v>
      </c>
      <c r="J2615" s="13">
        <f t="shared" si="95"/>
        <v>209286.75000000003</v>
      </c>
    </row>
    <row r="2616" spans="1:10" x14ac:dyDescent="0.25">
      <c r="A2616" s="10">
        <v>41166</v>
      </c>
      <c r="B2616" s="11" t="s">
        <v>8</v>
      </c>
      <c r="C2616" s="11" t="s">
        <v>5</v>
      </c>
      <c r="D2616" s="16" t="str">
        <f>HYPERLINK("https://freddywills.com/pick/2693/unlv-8-5.html", "Unlv+8.5")</f>
        <v>Unlv+8.5</v>
      </c>
      <c r="E2616" s="11">
        <v>3.3</v>
      </c>
      <c r="F2616" s="11">
        <v>-1.1000000000000001</v>
      </c>
      <c r="G2616" s="11" t="s">
        <v>4</v>
      </c>
      <c r="H2616" s="13">
        <v>3000</v>
      </c>
      <c r="I2616" s="14">
        <f t="shared" si="94"/>
        <v>0.11763040000000001</v>
      </c>
      <c r="J2616" s="13">
        <f t="shared" si="95"/>
        <v>210386.75000000003</v>
      </c>
    </row>
    <row r="2617" spans="1:10" x14ac:dyDescent="0.25">
      <c r="A2617" s="10">
        <v>41165</v>
      </c>
      <c r="B2617" s="11" t="s">
        <v>8</v>
      </c>
      <c r="C2617" s="11" t="s">
        <v>7</v>
      </c>
      <c r="D2617" s="16" t="str">
        <f>HYPERLINK("https://freddywills.com/pick/2694/rutgers-usf-u45-5.html", "Rutgers/USF U45.5")</f>
        <v>Rutgers/USF U45.5</v>
      </c>
      <c r="E2617" s="11">
        <v>2.2000000000000002</v>
      </c>
      <c r="F2617" s="11">
        <v>-1.1000000000000001</v>
      </c>
      <c r="G2617" s="11" t="s">
        <v>4</v>
      </c>
      <c r="H2617" s="13">
        <v>2000</v>
      </c>
      <c r="I2617" s="14">
        <f t="shared" si="94"/>
        <v>8.7630400000000011E-2</v>
      </c>
      <c r="J2617" s="13">
        <f t="shared" si="95"/>
        <v>207386.75000000003</v>
      </c>
    </row>
    <row r="2618" spans="1:10" x14ac:dyDescent="0.25">
      <c r="A2618" s="10">
        <v>41165</v>
      </c>
      <c r="B2618" s="11" t="s">
        <v>8</v>
      </c>
      <c r="C2618" s="11" t="s">
        <v>10</v>
      </c>
      <c r="D2618" s="16" t="str">
        <f>HYPERLINK("https://freddywills.com/pick/2695/rutgers-14-u52-120.html", "Rutgers +14/ U52 -120")</f>
        <v>Rutgers +14/ U52 -120</v>
      </c>
      <c r="E2618" s="11">
        <v>2</v>
      </c>
      <c r="F2618" s="11">
        <v>-1.2</v>
      </c>
      <c r="G2618" s="11" t="s">
        <v>4</v>
      </c>
      <c r="H2618" s="13">
        <v>1666.67</v>
      </c>
      <c r="I2618" s="14">
        <f t="shared" si="94"/>
        <v>6.7630400000000007E-2</v>
      </c>
      <c r="J2618" s="13">
        <f t="shared" si="95"/>
        <v>205386.75000000003</v>
      </c>
    </row>
    <row r="2619" spans="1:10" x14ac:dyDescent="0.25">
      <c r="A2619" s="10">
        <v>41165</v>
      </c>
      <c r="B2619" s="11" t="s">
        <v>2</v>
      </c>
      <c r="C2619" s="11" t="s">
        <v>5</v>
      </c>
      <c r="D2619" s="16" t="str">
        <f>HYPERLINK("https://freddywills.com/pick/2696/packers-4-120.html", "Packers -4 -120")</f>
        <v>Packers -4 -120</v>
      </c>
      <c r="E2619" s="11">
        <v>5</v>
      </c>
      <c r="F2619" s="11">
        <v>-1.2</v>
      </c>
      <c r="G2619" s="11" t="s">
        <v>4</v>
      </c>
      <c r="H2619" s="13">
        <v>4166.67</v>
      </c>
      <c r="I2619" s="14">
        <f t="shared" si="94"/>
        <v>5.0963700000000001E-2</v>
      </c>
      <c r="J2619" s="13">
        <f t="shared" si="95"/>
        <v>203720.08000000002</v>
      </c>
    </row>
    <row r="2620" spans="1:10" x14ac:dyDescent="0.25">
      <c r="A2620" s="10">
        <v>41162</v>
      </c>
      <c r="B2620" s="11" t="s">
        <v>2</v>
      </c>
      <c r="C2620" s="11" t="s">
        <v>5</v>
      </c>
      <c r="D2620" s="16" t="str">
        <f>HYPERLINK("https://freddywills.com/pick/2701/raiders-pk-3team-teaser.html", "Raiders pk + 3team teaser")</f>
        <v>Raiders pk + 3team teaser</v>
      </c>
      <c r="E2620" s="11">
        <v>6.6</v>
      </c>
      <c r="F2620" s="11">
        <v>-1.1000000000000001</v>
      </c>
      <c r="G2620" s="11" t="s">
        <v>6</v>
      </c>
      <c r="H2620" s="13">
        <v>-6600</v>
      </c>
      <c r="I2620" s="14">
        <f t="shared" si="94"/>
        <v>9.2969999999999997E-3</v>
      </c>
      <c r="J2620" s="13">
        <f t="shared" si="95"/>
        <v>199553.41</v>
      </c>
    </row>
    <row r="2621" spans="1:10" x14ac:dyDescent="0.25">
      <c r="A2621" s="10">
        <v>41161</v>
      </c>
      <c r="B2621" s="11" t="s">
        <v>2</v>
      </c>
      <c r="C2621" s="11" t="s">
        <v>5</v>
      </c>
      <c r="D2621" s="16" t="str">
        <f>HYPERLINK("https://freddywills.com/pick/2703/tb-bucs-3-120.html", "TB Bucs +3 -120")</f>
        <v>TB Bucs +3 -120</v>
      </c>
      <c r="E2621" s="11">
        <v>5.5</v>
      </c>
      <c r="F2621" s="11">
        <v>-1.2</v>
      </c>
      <c r="G2621" s="11" t="s">
        <v>4</v>
      </c>
      <c r="H2621" s="13">
        <v>4583.33</v>
      </c>
      <c r="I2621" s="14">
        <f t="shared" si="94"/>
        <v>7.5297000000000003E-2</v>
      </c>
      <c r="J2621" s="13">
        <f t="shared" si="95"/>
        <v>206153.41</v>
      </c>
    </row>
    <row r="2622" spans="1:10" x14ac:dyDescent="0.25">
      <c r="A2622" s="10">
        <v>41161</v>
      </c>
      <c r="B2622" s="11" t="s">
        <v>2</v>
      </c>
      <c r="C2622" s="11" t="s">
        <v>5</v>
      </c>
      <c r="D2622" s="16" t="str">
        <f>HYPERLINK("https://freddywills.com/pick/2704/rams-9.html", "Rams +9")</f>
        <v>Rams +9</v>
      </c>
      <c r="E2622" s="11">
        <v>4.4000000000000004</v>
      </c>
      <c r="F2622" s="11">
        <v>-1.1000000000000001</v>
      </c>
      <c r="G2622" s="11" t="s">
        <v>4</v>
      </c>
      <c r="H2622" s="13">
        <v>4000</v>
      </c>
      <c r="I2622" s="14">
        <f t="shared" si="94"/>
        <v>2.9463700000000009E-2</v>
      </c>
      <c r="J2622" s="13">
        <f t="shared" si="95"/>
        <v>201570.08000000002</v>
      </c>
    </row>
    <row r="2623" spans="1:10" x14ac:dyDescent="0.25">
      <c r="A2623" s="10">
        <v>41161</v>
      </c>
      <c r="B2623" s="11" t="s">
        <v>2</v>
      </c>
      <c r="C2623" s="11" t="s">
        <v>5</v>
      </c>
      <c r="D2623" s="16" t="str">
        <f>HYPERLINK("https://freddywills.com/pick/2705/falcons-1.html", "Falcons -1")</f>
        <v>Falcons -1</v>
      </c>
      <c r="E2623" s="11">
        <v>3.3</v>
      </c>
      <c r="F2623" s="11">
        <v>-1.1000000000000001</v>
      </c>
      <c r="G2623" s="11" t="s">
        <v>4</v>
      </c>
      <c r="H2623" s="13">
        <v>3000</v>
      </c>
      <c r="I2623" s="14">
        <f t="shared" si="94"/>
        <v>-1.0536299999999992E-2</v>
      </c>
      <c r="J2623" s="13">
        <f t="shared" si="95"/>
        <v>197570.08000000002</v>
      </c>
    </row>
    <row r="2624" spans="1:10" x14ac:dyDescent="0.25">
      <c r="A2624" s="10">
        <v>41161</v>
      </c>
      <c r="B2624" s="11" t="s">
        <v>2</v>
      </c>
      <c r="C2624" s="11" t="s">
        <v>5</v>
      </c>
      <c r="D2624" s="16" t="str">
        <f>HYPERLINK("https://freddywills.com/pick/2706/titans-5.html", "Titans +5")</f>
        <v>Titans +5</v>
      </c>
      <c r="E2624" s="11">
        <v>2.2000000000000002</v>
      </c>
      <c r="F2624" s="11">
        <v>-1.1000000000000001</v>
      </c>
      <c r="G2624" s="11" t="s">
        <v>6</v>
      </c>
      <c r="H2624" s="13">
        <v>-2200</v>
      </c>
      <c r="I2624" s="14">
        <f t="shared" si="94"/>
        <v>-4.053629999999999E-2</v>
      </c>
      <c r="J2624" s="13">
        <f t="shared" si="95"/>
        <v>194570.08000000002</v>
      </c>
    </row>
    <row r="2625" spans="1:10" x14ac:dyDescent="0.25">
      <c r="A2625" s="10">
        <v>41161</v>
      </c>
      <c r="B2625" s="11" t="s">
        <v>2</v>
      </c>
      <c r="C2625" s="11" t="s">
        <v>10</v>
      </c>
      <c r="D2625" s="16" t="str">
        <f>HYPERLINK("https://freddywills.com/pick/2707/steelers-8-5-o39-5.html", "Steelers +8.5 / O39.5")</f>
        <v>Steelers +8.5 / O39.5</v>
      </c>
      <c r="E2625" s="11">
        <v>3.3</v>
      </c>
      <c r="F2625" s="11">
        <v>-1.1000000000000001</v>
      </c>
      <c r="G2625" s="11" t="s">
        <v>6</v>
      </c>
      <c r="H2625" s="13">
        <v>-3300</v>
      </c>
      <c r="I2625" s="14">
        <f t="shared" si="94"/>
        <v>-1.8536299999999992E-2</v>
      </c>
      <c r="J2625" s="13">
        <f t="shared" si="95"/>
        <v>196770.08000000002</v>
      </c>
    </row>
    <row r="2626" spans="1:10" x14ac:dyDescent="0.25">
      <c r="A2626" s="10">
        <v>41160</v>
      </c>
      <c r="B2626" s="11" t="s">
        <v>8</v>
      </c>
      <c r="C2626" s="11" t="s">
        <v>5</v>
      </c>
      <c r="D2626" s="16" t="str">
        <f>HYPERLINK("https://freddywills.com/pick/2710/army-7-120.html", "Army +7 -120")</f>
        <v>Army +7 -120</v>
      </c>
      <c r="E2626" s="11">
        <v>3</v>
      </c>
      <c r="F2626" s="11">
        <v>-1.2</v>
      </c>
      <c r="G2626" s="11" t="s">
        <v>6</v>
      </c>
      <c r="H2626" s="13">
        <v>-3000</v>
      </c>
      <c r="I2626" s="14">
        <f t="shared" si="94"/>
        <v>1.446370000000001E-2</v>
      </c>
      <c r="J2626" s="13">
        <f t="shared" si="95"/>
        <v>200070.08000000002</v>
      </c>
    </row>
    <row r="2627" spans="1:10" x14ac:dyDescent="0.25">
      <c r="A2627" s="10">
        <v>41160</v>
      </c>
      <c r="B2627" s="11" t="s">
        <v>8</v>
      </c>
      <c r="C2627" s="11" t="s">
        <v>5</v>
      </c>
      <c r="D2627" s="16" t="str">
        <f>HYPERLINK("https://freddywills.com/pick/2711/south-carolina-21.html", "South Carolina -21")</f>
        <v>South Carolina -21</v>
      </c>
      <c r="E2627" s="11">
        <v>2.2000000000000002</v>
      </c>
      <c r="F2627" s="11">
        <v>-1.1000000000000001</v>
      </c>
      <c r="G2627" s="11" t="s">
        <v>4</v>
      </c>
      <c r="H2627" s="13">
        <v>2000</v>
      </c>
      <c r="I2627" s="14">
        <f t="shared" si="94"/>
        <v>4.4463700000000009E-2</v>
      </c>
      <c r="J2627" s="13">
        <f t="shared" si="95"/>
        <v>203070.08000000002</v>
      </c>
    </row>
    <row r="2628" spans="1:10" x14ac:dyDescent="0.25">
      <c r="A2628" s="10">
        <v>41160</v>
      </c>
      <c r="B2628" s="11" t="s">
        <v>8</v>
      </c>
      <c r="C2628" s="11" t="s">
        <v>5</v>
      </c>
      <c r="D2628" s="16" t="str">
        <f>HYPERLINK("https://freddywills.com/pick/2712/arizona-11.html", "Arizona +11")</f>
        <v>Arizona +11</v>
      </c>
      <c r="E2628" s="11">
        <v>3.3</v>
      </c>
      <c r="F2628" s="11">
        <v>-1.1000000000000001</v>
      </c>
      <c r="G2628" s="11" t="s">
        <v>4</v>
      </c>
      <c r="H2628" s="13">
        <v>3000</v>
      </c>
      <c r="I2628" s="14">
        <f t="shared" si="94"/>
        <v>2.4463700000000012E-2</v>
      </c>
      <c r="J2628" s="13">
        <f t="shared" si="95"/>
        <v>201070.08000000002</v>
      </c>
    </row>
    <row r="2629" spans="1:10" x14ac:dyDescent="0.25">
      <c r="A2629" s="10">
        <v>41160</v>
      </c>
      <c r="B2629" s="11" t="s">
        <v>8</v>
      </c>
      <c r="C2629" s="11" t="s">
        <v>18</v>
      </c>
      <c r="D2629" s="16" t="str">
        <f>HYPERLINK("https://freddywills.com/pick/2713/arizona-350.html", "Arizona +350")</f>
        <v>Arizona +350</v>
      </c>
      <c r="E2629" s="11">
        <v>0.5</v>
      </c>
      <c r="F2629" s="11">
        <v>3.5</v>
      </c>
      <c r="G2629" s="11" t="s">
        <v>4</v>
      </c>
      <c r="H2629" s="13">
        <v>1750</v>
      </c>
      <c r="I2629" s="14">
        <f t="shared" si="94"/>
        <v>-5.5362999999999871E-3</v>
      </c>
      <c r="J2629" s="13">
        <f t="shared" si="95"/>
        <v>198070.08000000002</v>
      </c>
    </row>
    <row r="2630" spans="1:10" x14ac:dyDescent="0.25">
      <c r="A2630" s="10">
        <v>41160</v>
      </c>
      <c r="B2630" s="11" t="s">
        <v>8</v>
      </c>
      <c r="C2630" s="11" t="s">
        <v>5</v>
      </c>
      <c r="D2630" s="16" t="str">
        <f>HYPERLINK("https://freddywills.com/pick/2714/georgia-2.html", "Georgia -2")</f>
        <v>Georgia -2</v>
      </c>
      <c r="E2630" s="11">
        <v>4.4000000000000004</v>
      </c>
      <c r="F2630" s="11">
        <v>-1.1000000000000001</v>
      </c>
      <c r="G2630" s="11" t="s">
        <v>4</v>
      </c>
      <c r="H2630" s="13">
        <v>4000</v>
      </c>
      <c r="I2630" s="14">
        <f t="shared" si="94"/>
        <v>-2.3036299999999989E-2</v>
      </c>
      <c r="J2630" s="13">
        <f t="shared" si="95"/>
        <v>196320.08000000002</v>
      </c>
    </row>
    <row r="2631" spans="1:10" x14ac:dyDescent="0.25">
      <c r="A2631" s="10">
        <v>41160</v>
      </c>
      <c r="B2631" s="11" t="s">
        <v>8</v>
      </c>
      <c r="C2631" s="11" t="s">
        <v>5</v>
      </c>
      <c r="D2631" s="16" t="str">
        <f>HYPERLINK("https://freddywills.com/pick/2715/penn-state-10.html", "Penn State +10")</f>
        <v>Penn State +10</v>
      </c>
      <c r="E2631" s="11">
        <v>2.2000000000000002</v>
      </c>
      <c r="F2631" s="11">
        <v>-1.1000000000000001</v>
      </c>
      <c r="G2631" s="11" t="s">
        <v>4</v>
      </c>
      <c r="H2631" s="13">
        <v>2000</v>
      </c>
      <c r="I2631" s="14">
        <f t="shared" si="94"/>
        <v>-6.303629999999999E-2</v>
      </c>
      <c r="J2631" s="13">
        <f t="shared" si="95"/>
        <v>192320.08000000002</v>
      </c>
    </row>
    <row r="2632" spans="1:10" x14ac:dyDescent="0.25">
      <c r="A2632" s="10">
        <v>41159</v>
      </c>
      <c r="B2632" s="11" t="s">
        <v>8</v>
      </c>
      <c r="C2632" s="11" t="s">
        <v>5</v>
      </c>
      <c r="D2632" s="16" t="str">
        <f>HYPERLINK("https://freddywills.com/pick/2716/utah-state-7-5-120.html", "Utah State +7.5 -120")</f>
        <v>Utah State +7.5 -120</v>
      </c>
      <c r="E2632" s="11">
        <v>4</v>
      </c>
      <c r="F2632" s="11">
        <v>-1.2</v>
      </c>
      <c r="G2632" s="11" t="s">
        <v>4</v>
      </c>
      <c r="H2632" s="13">
        <v>3333.33</v>
      </c>
      <c r="I2632" s="14">
        <f t="shared" si="94"/>
        <v>-8.3036299999999993E-2</v>
      </c>
      <c r="J2632" s="13">
        <f t="shared" si="95"/>
        <v>190320.08000000002</v>
      </c>
    </row>
    <row r="2633" spans="1:10" x14ac:dyDescent="0.25">
      <c r="A2633" s="10">
        <v>41158</v>
      </c>
      <c r="B2633" s="11" t="s">
        <v>8</v>
      </c>
      <c r="C2633" s="11" t="s">
        <v>5</v>
      </c>
      <c r="D2633" s="16" t="str">
        <f>HYPERLINK("https://freddywills.com/pick/2717/pitt-5-wow.html", "Pitt +5 WOW!")</f>
        <v>Pitt +5 WOW!</v>
      </c>
      <c r="E2633" s="11">
        <v>3.3</v>
      </c>
      <c r="F2633" s="11">
        <v>-1.1000000000000001</v>
      </c>
      <c r="G2633" s="11" t="s">
        <v>6</v>
      </c>
      <c r="H2633" s="13">
        <v>-3300</v>
      </c>
      <c r="I2633" s="14">
        <f t="shared" si="94"/>
        <v>-0.11636959999999999</v>
      </c>
      <c r="J2633" s="13">
        <f t="shared" si="95"/>
        <v>186986.75000000003</v>
      </c>
    </row>
    <row r="2634" spans="1:10" x14ac:dyDescent="0.25">
      <c r="A2634" s="10">
        <v>41157</v>
      </c>
      <c r="B2634" s="11" t="s">
        <v>2</v>
      </c>
      <c r="C2634" s="11" t="s">
        <v>7</v>
      </c>
      <c r="D2634" s="16" t="str">
        <f>HYPERLINK("https://freddywills.com/pick/2719/nyg-dal-over-45.html", "NYG/DAL Over 45")</f>
        <v>NYG/DAL Over 45</v>
      </c>
      <c r="E2634" s="11">
        <v>4.4000000000000004</v>
      </c>
      <c r="F2634" s="11">
        <v>-1.1000000000000001</v>
      </c>
      <c r="G2634" s="11" t="s">
        <v>6</v>
      </c>
      <c r="H2634" s="13">
        <v>-4400</v>
      </c>
      <c r="I2634" s="14">
        <f t="shared" si="94"/>
        <v>-8.3369599999999988E-2</v>
      </c>
      <c r="J2634" s="13">
        <f t="shared" si="95"/>
        <v>190286.75000000003</v>
      </c>
    </row>
    <row r="2635" spans="1:10" x14ac:dyDescent="0.25">
      <c r="A2635" s="10">
        <v>41157</v>
      </c>
      <c r="B2635" s="11" t="s">
        <v>2</v>
      </c>
      <c r="C2635" s="11" t="s">
        <v>10</v>
      </c>
      <c r="D2635" s="16" t="str">
        <f>HYPERLINK("https://freddywills.com/pick/2720/cowboys-10-over-39.html", "Cowboys +10 / Over 39")</f>
        <v>Cowboys +10 / Over 39</v>
      </c>
      <c r="E2635" s="11">
        <v>2.2000000000000002</v>
      </c>
      <c r="F2635" s="11">
        <v>-1.1000000000000001</v>
      </c>
      <c r="G2635" s="11" t="s">
        <v>4</v>
      </c>
      <c r="H2635" s="13">
        <v>2000</v>
      </c>
      <c r="I2635" s="14">
        <f t="shared" si="94"/>
        <v>-3.9369599999999991E-2</v>
      </c>
      <c r="J2635" s="13">
        <f t="shared" si="95"/>
        <v>194686.75000000003</v>
      </c>
    </row>
    <row r="2636" spans="1:10" x14ac:dyDescent="0.25">
      <c r="A2636" s="10">
        <v>41155</v>
      </c>
      <c r="B2636" s="11" t="s">
        <v>8</v>
      </c>
      <c r="C2636" s="11" t="s">
        <v>7</v>
      </c>
      <c r="D2636" s="16" t="str">
        <f>HYPERLINK("https://freddywills.com/pick/2724/gtech-vtech-u47-5.html", "GTech/ VTech U47.5")</f>
        <v>GTech/ VTech U47.5</v>
      </c>
      <c r="E2636" s="11">
        <v>3.3</v>
      </c>
      <c r="F2636" s="11">
        <v>-1.1000000000000001</v>
      </c>
      <c r="G2636" s="11" t="s">
        <v>4</v>
      </c>
      <c r="H2636" s="13">
        <v>3000</v>
      </c>
      <c r="I2636" s="14">
        <f t="shared" si="94"/>
        <v>-5.9369599999999995E-2</v>
      </c>
      <c r="J2636" s="13">
        <f t="shared" si="95"/>
        <v>192686.75000000003</v>
      </c>
    </row>
    <row r="2637" spans="1:10" x14ac:dyDescent="0.25">
      <c r="A2637" s="10">
        <v>41154</v>
      </c>
      <c r="B2637" s="11" t="s">
        <v>8</v>
      </c>
      <c r="C2637" s="11" t="s">
        <v>5</v>
      </c>
      <c r="D2637" s="16" t="str">
        <f>HYPERLINK("https://freddywills.com/pick/2726/smu-7-5.html", "SMU +7.5")</f>
        <v>SMU +7.5</v>
      </c>
      <c r="E2637" s="11">
        <v>3.3</v>
      </c>
      <c r="F2637" s="11">
        <v>-1.1000000000000001</v>
      </c>
      <c r="G2637" s="11" t="s">
        <v>6</v>
      </c>
      <c r="H2637" s="13">
        <v>-3300</v>
      </c>
      <c r="I2637" s="14">
        <f t="shared" si="94"/>
        <v>-8.9369599999999993E-2</v>
      </c>
      <c r="J2637" s="13">
        <f t="shared" si="95"/>
        <v>189686.75000000003</v>
      </c>
    </row>
    <row r="2638" spans="1:10" x14ac:dyDescent="0.25">
      <c r="A2638" s="10">
        <v>41153</v>
      </c>
      <c r="B2638" s="11" t="s">
        <v>8</v>
      </c>
      <c r="C2638" s="11" t="s">
        <v>5</v>
      </c>
      <c r="D2638" s="16" t="str">
        <f>HYPERLINK("https://freddywills.com/pick/2727/syracuse-1.html", "Syracuse +1")</f>
        <v>Syracuse +1</v>
      </c>
      <c r="E2638" s="11">
        <v>3.3</v>
      </c>
      <c r="F2638" s="11">
        <v>-1.1000000000000001</v>
      </c>
      <c r="G2638" s="11" t="s">
        <v>9</v>
      </c>
      <c r="H2638" s="13">
        <v>0</v>
      </c>
      <c r="I2638" s="14">
        <f t="shared" si="94"/>
        <v>-5.6369599999999999E-2</v>
      </c>
      <c r="J2638" s="13">
        <f t="shared" si="95"/>
        <v>192986.75000000003</v>
      </c>
    </row>
    <row r="2639" spans="1:10" x14ac:dyDescent="0.25">
      <c r="A2639" s="10">
        <v>41153</v>
      </c>
      <c r="B2639" s="11" t="s">
        <v>8</v>
      </c>
      <c r="C2639" s="11" t="s">
        <v>5</v>
      </c>
      <c r="D2639" s="16" t="str">
        <f>HYPERLINK("https://freddywills.com/pick/2728/tulsa-1-5.html", "Tulsa -1.5")</f>
        <v>Tulsa -1.5</v>
      </c>
      <c r="E2639" s="11">
        <v>2.2000000000000002</v>
      </c>
      <c r="F2639" s="11">
        <v>-1.1000000000000001</v>
      </c>
      <c r="G2639" s="11" t="s">
        <v>6</v>
      </c>
      <c r="H2639" s="13">
        <v>-2200</v>
      </c>
      <c r="I2639" s="14">
        <f t="shared" ref="I2639:I2643" si="96">(H2639/100000)+I2640</f>
        <v>-5.6369599999999999E-2</v>
      </c>
      <c r="J2639" s="13">
        <f t="shared" ref="J2639:J2644" si="97">H2639+J2640</f>
        <v>192986.75000000003</v>
      </c>
    </row>
    <row r="2640" spans="1:10" x14ac:dyDescent="0.25">
      <c r="A2640" s="10">
        <v>41153</v>
      </c>
      <c r="B2640" s="11" t="s">
        <v>8</v>
      </c>
      <c r="C2640" s="11" t="s">
        <v>5</v>
      </c>
      <c r="D2640" s="16" t="str">
        <f>HYPERLINK("https://freddywills.com/pick/2729/auburn-3.html", "Auburn +3")</f>
        <v>Auburn +3</v>
      </c>
      <c r="E2640" s="11">
        <v>5</v>
      </c>
      <c r="F2640" s="11">
        <v>-1.1000000000000001</v>
      </c>
      <c r="G2640" s="11" t="s">
        <v>6</v>
      </c>
      <c r="H2640" s="13">
        <v>-5000</v>
      </c>
      <c r="I2640" s="14">
        <f t="shared" si="96"/>
        <v>-3.43696E-2</v>
      </c>
      <c r="J2640" s="13">
        <f t="shared" si="97"/>
        <v>195186.75000000003</v>
      </c>
    </row>
    <row r="2641" spans="1:10" x14ac:dyDescent="0.25">
      <c r="A2641" s="10">
        <v>41153</v>
      </c>
      <c r="B2641" s="11" t="s">
        <v>8</v>
      </c>
      <c r="C2641" s="11" t="s">
        <v>5</v>
      </c>
      <c r="D2641" s="16" t="str">
        <f>HYPERLINK("https://freddywills.com/pick/2730/southern-miss-20.html", "Southern Miss +20")</f>
        <v>Southern Miss +20</v>
      </c>
      <c r="E2641" s="11">
        <v>1.1000000000000001</v>
      </c>
      <c r="F2641" s="11">
        <v>-1.1000000000000001</v>
      </c>
      <c r="G2641" s="11" t="s">
        <v>6</v>
      </c>
      <c r="H2641" s="13">
        <v>-1100</v>
      </c>
      <c r="I2641" s="14">
        <f t="shared" si="96"/>
        <v>1.5630400000000003E-2</v>
      </c>
      <c r="J2641" s="13">
        <f t="shared" si="97"/>
        <v>200186.75000000003</v>
      </c>
    </row>
    <row r="2642" spans="1:10" x14ac:dyDescent="0.25">
      <c r="A2642" s="10">
        <v>41152</v>
      </c>
      <c r="B2642" s="11" t="s">
        <v>8</v>
      </c>
      <c r="C2642" s="11" t="s">
        <v>18</v>
      </c>
      <c r="D2642" s="16" t="str">
        <f>HYPERLINK("https://freddywills.com/pick/2731/boise-state-7-5-120.html", "Boise State +7.5 -120")</f>
        <v>Boise State +7.5 -120</v>
      </c>
      <c r="E2642" s="11">
        <v>1.5</v>
      </c>
      <c r="F2642" s="11">
        <v>-1.2</v>
      </c>
      <c r="G2642" s="11" t="s">
        <v>4</v>
      </c>
      <c r="H2642" s="13">
        <v>1250</v>
      </c>
      <c r="I2642" s="14">
        <f t="shared" si="96"/>
        <v>2.6630400000000002E-2</v>
      </c>
      <c r="J2642" s="13">
        <f t="shared" si="97"/>
        <v>201286.75000000003</v>
      </c>
    </row>
    <row r="2643" spans="1:10" x14ac:dyDescent="0.25">
      <c r="A2643" s="10">
        <v>41152</v>
      </c>
      <c r="B2643" s="11" t="s">
        <v>8</v>
      </c>
      <c r="C2643" s="11" t="s">
        <v>5</v>
      </c>
      <c r="D2643" s="16" t="str">
        <f>HYPERLINK("https://freddywills.com/pick/2732/nc-st-3.html", "NC ST +3")</f>
        <v>NC ST +3</v>
      </c>
      <c r="E2643" s="11">
        <v>4.5</v>
      </c>
      <c r="F2643" s="11">
        <v>-1.1000000000000001</v>
      </c>
      <c r="G2643" s="11" t="s">
        <v>6</v>
      </c>
      <c r="H2643" s="13">
        <v>-4500</v>
      </c>
      <c r="I2643" s="14">
        <f t="shared" si="96"/>
        <v>1.4130400000000001E-2</v>
      </c>
      <c r="J2643" s="13">
        <f t="shared" si="97"/>
        <v>200036.75000000003</v>
      </c>
    </row>
    <row r="2644" spans="1:10" x14ac:dyDescent="0.25">
      <c r="A2644" s="10">
        <v>41151</v>
      </c>
      <c r="B2644" s="11" t="s">
        <v>8</v>
      </c>
      <c r="C2644" s="11" t="s">
        <v>5</v>
      </c>
      <c r="D2644" s="16" t="str">
        <f>HYPERLINK("https://freddywills.com/pick/2734/ucf-23-5.html", "UCF -23.5")</f>
        <v>UCF -23.5</v>
      </c>
      <c r="E2644" s="11">
        <v>2.2000000000000002</v>
      </c>
      <c r="F2644" s="11">
        <v>-1.1000000000000001</v>
      </c>
      <c r="G2644" s="11" t="s">
        <v>4</v>
      </c>
      <c r="H2644" s="13">
        <v>2000</v>
      </c>
      <c r="I2644" s="14">
        <f>(H2644/100000)+I2645</f>
        <v>5.91304E-2</v>
      </c>
      <c r="J2644" s="13">
        <f t="shared" si="97"/>
        <v>204536.75000000003</v>
      </c>
    </row>
    <row r="2645" spans="1:10" x14ac:dyDescent="0.25">
      <c r="A2645" s="10">
        <v>41151</v>
      </c>
      <c r="B2645" s="11" t="s">
        <v>8</v>
      </c>
      <c r="C2645" s="11" t="s">
        <v>5</v>
      </c>
      <c r="D2645" s="16" t="str">
        <f>HYPERLINK("https://freddywills.com/pick/2735/vanderbilt-7-115.html", "Vanderbilt +7 -115")</f>
        <v>Vanderbilt +7 -115</v>
      </c>
      <c r="E2645" s="11">
        <v>4.5</v>
      </c>
      <c r="F2645" s="11">
        <v>-1.1499999999999999</v>
      </c>
      <c r="G2645" s="11" t="s">
        <v>4</v>
      </c>
      <c r="H2645" s="13">
        <v>3913.04</v>
      </c>
      <c r="I2645" s="14">
        <f>H2645/100000</f>
        <v>3.9130400000000003E-2</v>
      </c>
      <c r="J2645" s="13">
        <f>H2645+J2648</f>
        <v>202536.75000000003</v>
      </c>
    </row>
    <row r="2646" spans="1:10" x14ac:dyDescent="0.25">
      <c r="A2646" s="17" t="s">
        <v>22</v>
      </c>
      <c r="B2646" s="18"/>
      <c r="C2646" s="18"/>
      <c r="D2646" s="18"/>
      <c r="E2646" s="18"/>
      <c r="F2646" s="18"/>
      <c r="G2646" s="18"/>
      <c r="H2646" s="18"/>
      <c r="I2646" s="19">
        <v>100000</v>
      </c>
      <c r="J2646" s="17"/>
    </row>
    <row r="2647" spans="1:10" x14ac:dyDescent="0.25">
      <c r="A2647" s="8" t="s">
        <v>23</v>
      </c>
      <c r="B2647" s="9"/>
      <c r="C2647" s="9"/>
      <c r="D2647" s="9"/>
      <c r="E2647" s="9"/>
      <c r="F2647" s="9"/>
      <c r="G2647" s="9"/>
      <c r="H2647" s="9"/>
      <c r="I2647" s="9"/>
      <c r="J2647" s="9"/>
    </row>
    <row r="2648" spans="1:10" x14ac:dyDescent="0.25">
      <c r="A2648" s="10">
        <v>40944</v>
      </c>
      <c r="B2648" s="11" t="s">
        <v>2</v>
      </c>
      <c r="C2648" s="11" t="s">
        <v>3</v>
      </c>
      <c r="D2648" s="16" t="str">
        <f>HYPERLINK("https://freddywills.com/pick/3246/prop-package-1.html", "Prop package #1")</f>
        <v>Prop package #1</v>
      </c>
      <c r="E2648" s="11">
        <v>9.1999999999999993</v>
      </c>
      <c r="F2648" s="11">
        <v>-1.1000000000000001</v>
      </c>
      <c r="G2648" s="11" t="s">
        <v>4</v>
      </c>
      <c r="H2648" s="13">
        <v>6490</v>
      </c>
      <c r="I2648" s="14">
        <f t="shared" ref="I2648:I2711" si="98">(H2648/100000)+I2649</f>
        <v>1.6404330000000023</v>
      </c>
      <c r="J2648" s="13">
        <f t="shared" ref="J2648:J2711" si="99">H2648+J2649</f>
        <v>198623.71000000002</v>
      </c>
    </row>
    <row r="2649" spans="1:10" x14ac:dyDescent="0.25">
      <c r="A2649" s="10">
        <v>40944</v>
      </c>
      <c r="B2649" s="11" t="s">
        <v>2</v>
      </c>
      <c r="C2649" s="11" t="s">
        <v>3</v>
      </c>
      <c r="D2649" s="16" t="str">
        <f>HYPERLINK("https://freddywills.com/pick/3247/prop-package-2.html", "Prop package #2")</f>
        <v>Prop package #2</v>
      </c>
      <c r="E2649" s="11">
        <v>6.5</v>
      </c>
      <c r="F2649" s="11">
        <v>-1.1000000000000001</v>
      </c>
      <c r="G2649" s="11" t="s">
        <v>6</v>
      </c>
      <c r="H2649" s="13">
        <v>-6500</v>
      </c>
      <c r="I2649" s="14">
        <f t="shared" si="98"/>
        <v>1.5755330000000023</v>
      </c>
      <c r="J2649" s="13">
        <f t="shared" si="99"/>
        <v>192133.71000000002</v>
      </c>
    </row>
    <row r="2650" spans="1:10" x14ac:dyDescent="0.25">
      <c r="A2650" s="10">
        <v>40944</v>
      </c>
      <c r="B2650" s="11" t="s">
        <v>2</v>
      </c>
      <c r="C2650" s="11" t="s">
        <v>5</v>
      </c>
      <c r="D2650" s="16" t="str">
        <f>HYPERLINK("https://freddywills.com/pick/3248/pats-2-5.html", "Pats -2.5")</f>
        <v>Pats -2.5</v>
      </c>
      <c r="E2650" s="11">
        <v>6</v>
      </c>
      <c r="F2650" s="11">
        <v>-1.1000000000000001</v>
      </c>
      <c r="G2650" s="11" t="s">
        <v>6</v>
      </c>
      <c r="H2650" s="13">
        <v>-6000</v>
      </c>
      <c r="I2650" s="14">
        <f t="shared" si="98"/>
        <v>1.6405330000000022</v>
      </c>
      <c r="J2650" s="13">
        <f t="shared" si="99"/>
        <v>198633.71000000002</v>
      </c>
    </row>
    <row r="2651" spans="1:10" x14ac:dyDescent="0.25">
      <c r="A2651" s="10">
        <v>40944</v>
      </c>
      <c r="B2651" s="11" t="s">
        <v>2</v>
      </c>
      <c r="C2651" s="11" t="s">
        <v>7</v>
      </c>
      <c r="D2651" s="16" t="str">
        <f>HYPERLINK("https://freddywills.com/pick/3249/ne-nyg-over-53-5.html", "Ne/Nyg over 53.5")</f>
        <v>Ne/Nyg over 53.5</v>
      </c>
      <c r="E2651" s="11">
        <v>3.3</v>
      </c>
      <c r="F2651" s="11">
        <v>-1.1000000000000001</v>
      </c>
      <c r="G2651" s="11" t="s">
        <v>6</v>
      </c>
      <c r="H2651" s="13">
        <v>-3300</v>
      </c>
      <c r="I2651" s="14">
        <f t="shared" si="98"/>
        <v>1.7005330000000023</v>
      </c>
      <c r="J2651" s="13">
        <f t="shared" si="99"/>
        <v>204633.71000000002</v>
      </c>
    </row>
    <row r="2652" spans="1:10" x14ac:dyDescent="0.25">
      <c r="A2652" s="10">
        <v>40930</v>
      </c>
      <c r="B2652" s="11" t="s">
        <v>2</v>
      </c>
      <c r="C2652" s="11" t="s">
        <v>3</v>
      </c>
      <c r="D2652" s="16" t="str">
        <f>HYPERLINK("https://freddywills.com/pick/3287/gronkowski-1st-td-275.html", "Gronkowski 1st TD +275")</f>
        <v>Gronkowski 1st TD +275</v>
      </c>
      <c r="E2652" s="11">
        <v>1</v>
      </c>
      <c r="F2652" s="11">
        <v>-1.1000000000000001</v>
      </c>
      <c r="G2652" s="11" t="s">
        <v>6</v>
      </c>
      <c r="H2652" s="13">
        <v>-1000</v>
      </c>
      <c r="I2652" s="14">
        <f t="shared" si="98"/>
        <v>1.7335330000000022</v>
      </c>
      <c r="J2652" s="13">
        <f t="shared" si="99"/>
        <v>207933.71000000002</v>
      </c>
    </row>
    <row r="2653" spans="1:10" x14ac:dyDescent="0.25">
      <c r="A2653" s="10">
        <v>40930</v>
      </c>
      <c r="B2653" s="11" t="s">
        <v>2</v>
      </c>
      <c r="C2653" s="11" t="s">
        <v>18</v>
      </c>
      <c r="D2653" s="16" t="str">
        <f>HYPERLINK("https://freddywills.com/pick/3288/ravens-270.html", "Ravens +270")</f>
        <v>Ravens +270</v>
      </c>
      <c r="E2653" s="11">
        <v>1</v>
      </c>
      <c r="F2653" s="11">
        <v>2.7</v>
      </c>
      <c r="G2653" s="11" t="s">
        <v>6</v>
      </c>
      <c r="H2653" s="13">
        <v>-1000</v>
      </c>
      <c r="I2653" s="14">
        <f t="shared" si="98"/>
        <v>1.7435330000000022</v>
      </c>
      <c r="J2653" s="13">
        <f t="shared" si="99"/>
        <v>208933.71000000002</v>
      </c>
    </row>
    <row r="2654" spans="1:10" x14ac:dyDescent="0.25">
      <c r="A2654" s="10">
        <v>40930</v>
      </c>
      <c r="B2654" s="11" t="s">
        <v>2</v>
      </c>
      <c r="C2654" s="11" t="s">
        <v>5</v>
      </c>
      <c r="D2654" s="16" t="str">
        <f>HYPERLINK("https://freddywills.com/pick/3289/ravens-7-5-120.html", "Ravens +7.5 -120")</f>
        <v>Ravens +7.5 -120</v>
      </c>
      <c r="E2654" s="11">
        <v>4.5</v>
      </c>
      <c r="F2654" s="11">
        <v>-1.2</v>
      </c>
      <c r="G2654" s="11" t="s">
        <v>4</v>
      </c>
      <c r="H2654" s="13">
        <v>3750</v>
      </c>
      <c r="I2654" s="14">
        <f t="shared" si="98"/>
        <v>1.7535330000000022</v>
      </c>
      <c r="J2654" s="13">
        <f t="shared" si="99"/>
        <v>209933.71000000002</v>
      </c>
    </row>
    <row r="2655" spans="1:10" x14ac:dyDescent="0.25">
      <c r="A2655" s="10">
        <v>40930</v>
      </c>
      <c r="B2655" s="11" t="s">
        <v>2</v>
      </c>
      <c r="C2655" s="11" t="s">
        <v>5</v>
      </c>
      <c r="D2655" s="16" t="str">
        <f>HYPERLINK("https://freddywills.com/pick/3290/giants-3-120.html", "Giants +3 -120")</f>
        <v>Giants +3 -120</v>
      </c>
      <c r="E2655" s="11">
        <v>6</v>
      </c>
      <c r="F2655" s="11">
        <v>-1.2</v>
      </c>
      <c r="G2655" s="11" t="s">
        <v>4</v>
      </c>
      <c r="H2655" s="13">
        <v>5000</v>
      </c>
      <c r="I2655" s="14">
        <f t="shared" si="98"/>
        <v>1.7160330000000021</v>
      </c>
      <c r="J2655" s="13">
        <f t="shared" si="99"/>
        <v>206183.71000000002</v>
      </c>
    </row>
    <row r="2656" spans="1:10" x14ac:dyDescent="0.25">
      <c r="A2656" s="10">
        <v>40930</v>
      </c>
      <c r="B2656" s="11" t="s">
        <v>2</v>
      </c>
      <c r="C2656" s="11" t="s">
        <v>18</v>
      </c>
      <c r="D2656" s="16" t="str">
        <f>HYPERLINK("https://freddywills.com/pick/3291/giants-128.html", "Giants +128")</f>
        <v>Giants +128</v>
      </c>
      <c r="E2656" s="11">
        <v>2.5</v>
      </c>
      <c r="F2656" s="11">
        <v>1.28</v>
      </c>
      <c r="G2656" s="11" t="s">
        <v>4</v>
      </c>
      <c r="H2656" s="13">
        <v>3200</v>
      </c>
      <c r="I2656" s="14">
        <f t="shared" si="98"/>
        <v>1.6660330000000021</v>
      </c>
      <c r="J2656" s="13">
        <f t="shared" si="99"/>
        <v>201183.71000000002</v>
      </c>
    </row>
    <row r="2657" spans="1:10" x14ac:dyDescent="0.25">
      <c r="A2657" s="10">
        <v>40923</v>
      </c>
      <c r="B2657" s="11" t="s">
        <v>2</v>
      </c>
      <c r="C2657" s="11" t="s">
        <v>10</v>
      </c>
      <c r="D2657" s="16" t="str">
        <f>HYPERLINK("https://freddywills.com/pick/3309/ravens-1-5-over-30-5.html", "Ravens -1.5 Over 30.5")</f>
        <v>Ravens -1.5 Over 30.5</v>
      </c>
      <c r="E2657" s="11">
        <v>3.3</v>
      </c>
      <c r="F2657" s="11">
        <v>-1.1000000000000001</v>
      </c>
      <c r="G2657" s="11" t="s">
        <v>4</v>
      </c>
      <c r="H2657" s="13">
        <v>3000</v>
      </c>
      <c r="I2657" s="14">
        <f t="shared" si="98"/>
        <v>1.6340330000000021</v>
      </c>
      <c r="J2657" s="13">
        <f t="shared" si="99"/>
        <v>197983.71000000002</v>
      </c>
    </row>
    <row r="2658" spans="1:10" x14ac:dyDescent="0.25">
      <c r="A2658" s="10">
        <v>40923</v>
      </c>
      <c r="B2658" s="11" t="s">
        <v>2</v>
      </c>
      <c r="C2658" s="11" t="s">
        <v>5</v>
      </c>
      <c r="D2658" s="16" t="str">
        <f>HYPERLINK("https://freddywills.com/pick/3310/giants-9.html", "Giants +9")</f>
        <v>Giants +9</v>
      </c>
      <c r="E2658" s="11">
        <v>5.5</v>
      </c>
      <c r="F2658" s="11">
        <v>-1.1000000000000001</v>
      </c>
      <c r="G2658" s="11" t="s">
        <v>4</v>
      </c>
      <c r="H2658" s="13">
        <v>5000</v>
      </c>
      <c r="I2658" s="14">
        <f t="shared" si="98"/>
        <v>1.604033000000002</v>
      </c>
      <c r="J2658" s="13">
        <f t="shared" si="99"/>
        <v>194983.71000000002</v>
      </c>
    </row>
    <row r="2659" spans="1:10" x14ac:dyDescent="0.25">
      <c r="A2659" s="10">
        <v>40922</v>
      </c>
      <c r="B2659" s="11" t="s">
        <v>2</v>
      </c>
      <c r="C2659" s="11" t="s">
        <v>5</v>
      </c>
      <c r="D2659" s="16" t="str">
        <f>HYPERLINK("https://freddywills.com/pick/3316/49ers-4.html", "49ers +4")</f>
        <v>49ers +4</v>
      </c>
      <c r="E2659" s="11">
        <v>5.5</v>
      </c>
      <c r="F2659" s="11">
        <v>-1.1000000000000001</v>
      </c>
      <c r="G2659" s="11" t="s">
        <v>4</v>
      </c>
      <c r="H2659" s="13">
        <v>5000</v>
      </c>
      <c r="I2659" s="14">
        <f t="shared" si="98"/>
        <v>1.554033000000002</v>
      </c>
      <c r="J2659" s="13">
        <f t="shared" si="99"/>
        <v>189983.71000000002</v>
      </c>
    </row>
    <row r="2660" spans="1:10" x14ac:dyDescent="0.25">
      <c r="A2660" s="10">
        <v>40922</v>
      </c>
      <c r="B2660" s="11" t="s">
        <v>2</v>
      </c>
      <c r="C2660" s="11" t="s">
        <v>18</v>
      </c>
      <c r="D2660" s="16" t="str">
        <f>HYPERLINK("https://freddywills.com/pick/3317/49ers-175.html", "49ers +175")</f>
        <v>49ers +175</v>
      </c>
      <c r="E2660" s="11">
        <v>2</v>
      </c>
      <c r="F2660" s="11">
        <v>1.75</v>
      </c>
      <c r="G2660" s="11" t="s">
        <v>4</v>
      </c>
      <c r="H2660" s="13">
        <v>3500</v>
      </c>
      <c r="I2660" s="14">
        <f t="shared" si="98"/>
        <v>1.504033000000002</v>
      </c>
      <c r="J2660" s="13">
        <f t="shared" si="99"/>
        <v>184983.71000000002</v>
      </c>
    </row>
    <row r="2661" spans="1:10" x14ac:dyDescent="0.25">
      <c r="A2661" s="10">
        <v>40922</v>
      </c>
      <c r="B2661" s="11" t="s">
        <v>2</v>
      </c>
      <c r="C2661" s="11" t="s">
        <v>5</v>
      </c>
      <c r="D2661" s="16" t="str">
        <f>HYPERLINK("https://freddywills.com/pick/3318/broncos-14-amp-575.html", "Broncos +14 &amp;amp; +575")</f>
        <v>Broncos +14 &amp;amp; +575</v>
      </c>
      <c r="E2661" s="11">
        <v>5</v>
      </c>
      <c r="F2661" s="11">
        <v>5.75</v>
      </c>
      <c r="G2661" s="11" t="s">
        <v>6</v>
      </c>
      <c r="H2661" s="13">
        <v>-5000</v>
      </c>
      <c r="I2661" s="14">
        <f t="shared" si="98"/>
        <v>1.469033000000002</v>
      </c>
      <c r="J2661" s="13">
        <f t="shared" si="99"/>
        <v>181483.71000000002</v>
      </c>
    </row>
    <row r="2662" spans="1:10" x14ac:dyDescent="0.25">
      <c r="A2662" s="10">
        <v>40917</v>
      </c>
      <c r="B2662" s="11" t="s">
        <v>8</v>
      </c>
      <c r="C2662" s="11" t="s">
        <v>5</v>
      </c>
      <c r="D2662" s="16" t="str">
        <f>HYPERLINK("https://freddywills.com/pick/3328/alabama-1.html", "Alabama -1")</f>
        <v>Alabama -1</v>
      </c>
      <c r="E2662" s="11">
        <v>5.5</v>
      </c>
      <c r="F2662" s="11">
        <v>-1.1000000000000001</v>
      </c>
      <c r="G2662" s="11" t="s">
        <v>4</v>
      </c>
      <c r="H2662" s="13">
        <v>5000</v>
      </c>
      <c r="I2662" s="14">
        <f t="shared" si="98"/>
        <v>1.5190330000000021</v>
      </c>
      <c r="J2662" s="13">
        <f t="shared" si="99"/>
        <v>186483.71000000002</v>
      </c>
    </row>
    <row r="2663" spans="1:10" x14ac:dyDescent="0.25">
      <c r="A2663" s="10">
        <v>40917</v>
      </c>
      <c r="B2663" s="11" t="s">
        <v>8</v>
      </c>
      <c r="C2663" s="11" t="s">
        <v>7</v>
      </c>
      <c r="D2663" s="16" t="str">
        <f>HYPERLINK("https://freddywills.com/pick/3329/ala-lsu-o40.html", "ALA/LSU O40")</f>
        <v>ALA/LSU O40</v>
      </c>
      <c r="E2663" s="11">
        <v>2.2000000000000002</v>
      </c>
      <c r="F2663" s="11">
        <v>-1.1000000000000001</v>
      </c>
      <c r="G2663" s="11" t="s">
        <v>6</v>
      </c>
      <c r="H2663" s="13">
        <v>-2200</v>
      </c>
      <c r="I2663" s="14">
        <f t="shared" si="98"/>
        <v>1.469033000000002</v>
      </c>
      <c r="J2663" s="13">
        <f t="shared" si="99"/>
        <v>181483.71000000002</v>
      </c>
    </row>
    <row r="2664" spans="1:10" x14ac:dyDescent="0.25">
      <c r="A2664" s="10">
        <v>40917</v>
      </c>
      <c r="B2664" s="11" t="s">
        <v>8</v>
      </c>
      <c r="C2664" s="11" t="s">
        <v>3</v>
      </c>
      <c r="D2664" s="16" t="str">
        <f>HYPERLINK("https://freddywills.com/pick/3330/1st-score-fg-150.html", "1st Score FG +150")</f>
        <v>1st Score FG +150</v>
      </c>
      <c r="E2664" s="11">
        <v>2</v>
      </c>
      <c r="F2664" s="11">
        <v>-1.1000000000000001</v>
      </c>
      <c r="G2664" s="11" t="s">
        <v>4</v>
      </c>
      <c r="H2664" s="13">
        <v>3000</v>
      </c>
      <c r="I2664" s="14">
        <f t="shared" si="98"/>
        <v>1.4910330000000021</v>
      </c>
      <c r="J2664" s="13">
        <f t="shared" si="99"/>
        <v>183683.71000000002</v>
      </c>
    </row>
    <row r="2665" spans="1:10" x14ac:dyDescent="0.25">
      <c r="A2665" s="10">
        <v>40916</v>
      </c>
      <c r="B2665" s="11" t="s">
        <v>8</v>
      </c>
      <c r="C2665" s="11" t="s">
        <v>5</v>
      </c>
      <c r="D2665" s="16" t="str">
        <f>HYPERLINK("https://freddywills.com/pick/3332/nill-1-5.html", "NILL +1.5")</f>
        <v>NILL +1.5</v>
      </c>
      <c r="E2665" s="11">
        <v>4.4000000000000004</v>
      </c>
      <c r="F2665" s="11">
        <v>-1.1000000000000001</v>
      </c>
      <c r="G2665" s="11" t="s">
        <v>4</v>
      </c>
      <c r="H2665" s="13">
        <v>4000</v>
      </c>
      <c r="I2665" s="14">
        <f t="shared" si="98"/>
        <v>1.461033000000002</v>
      </c>
      <c r="J2665" s="13">
        <f t="shared" si="99"/>
        <v>180683.71000000002</v>
      </c>
    </row>
    <row r="2666" spans="1:10" x14ac:dyDescent="0.25">
      <c r="A2666" s="10">
        <v>40916</v>
      </c>
      <c r="B2666" s="11" t="s">
        <v>2</v>
      </c>
      <c r="C2666" s="11" t="s">
        <v>7</v>
      </c>
      <c r="D2666" s="16" t="str">
        <f>HYPERLINK("https://freddywills.com/pick/3333/pit-den-u34.html", "PIT/DEN U34")</f>
        <v>PIT/DEN U34</v>
      </c>
      <c r="E2666" s="11">
        <v>3.3</v>
      </c>
      <c r="F2666" s="11">
        <v>-1.1000000000000001</v>
      </c>
      <c r="G2666" s="11" t="s">
        <v>6</v>
      </c>
      <c r="H2666" s="13">
        <v>-3300</v>
      </c>
      <c r="I2666" s="14">
        <f t="shared" si="98"/>
        <v>1.421033000000002</v>
      </c>
      <c r="J2666" s="13">
        <f t="shared" si="99"/>
        <v>176683.71000000002</v>
      </c>
    </row>
    <row r="2667" spans="1:10" x14ac:dyDescent="0.25">
      <c r="A2667" s="10">
        <v>40916</v>
      </c>
      <c r="B2667" s="11" t="s">
        <v>2</v>
      </c>
      <c r="C2667" s="11" t="s">
        <v>10</v>
      </c>
      <c r="D2667" s="16" t="str">
        <f>HYPERLINK("https://freddywills.com/pick/3334/den-15-u40.html", "DEN +15/U40")</f>
        <v>DEN +15/U40</v>
      </c>
      <c r="E2667" s="11">
        <v>3.3</v>
      </c>
      <c r="F2667" s="11">
        <v>-1.1000000000000001</v>
      </c>
      <c r="G2667" s="11" t="s">
        <v>6</v>
      </c>
      <c r="H2667" s="13">
        <v>-3300</v>
      </c>
      <c r="I2667" s="14">
        <f t="shared" si="98"/>
        <v>1.4540330000000019</v>
      </c>
      <c r="J2667" s="13">
        <f t="shared" si="99"/>
        <v>179983.71000000002</v>
      </c>
    </row>
    <row r="2668" spans="1:10" x14ac:dyDescent="0.25">
      <c r="A2668" s="10">
        <v>40916</v>
      </c>
      <c r="B2668" s="11" t="s">
        <v>2</v>
      </c>
      <c r="C2668" s="11" t="s">
        <v>18</v>
      </c>
      <c r="D2668" s="16" t="str">
        <f>HYPERLINK("https://freddywills.com/pick/3335/broncos-330.html", "Broncos +330")</f>
        <v>Broncos +330</v>
      </c>
      <c r="E2668" s="11">
        <v>1</v>
      </c>
      <c r="F2668" s="11">
        <v>3.3</v>
      </c>
      <c r="G2668" s="11" t="s">
        <v>4</v>
      </c>
      <c r="H2668" s="13">
        <v>3300</v>
      </c>
      <c r="I2668" s="14">
        <f t="shared" si="98"/>
        <v>1.4870330000000018</v>
      </c>
      <c r="J2668" s="13">
        <f t="shared" si="99"/>
        <v>183283.71000000002</v>
      </c>
    </row>
    <row r="2669" spans="1:10" x14ac:dyDescent="0.25">
      <c r="A2669" s="10">
        <v>40916</v>
      </c>
      <c r="B2669" s="11" t="s">
        <v>2</v>
      </c>
      <c r="C2669" s="11" t="s">
        <v>5</v>
      </c>
      <c r="D2669" s="16" t="str">
        <f>HYPERLINK("https://freddywills.com/pick/3336/falcons-3-5.html", "Falcons +3.5")</f>
        <v>Falcons +3.5</v>
      </c>
      <c r="E2669" s="11">
        <v>5.5</v>
      </c>
      <c r="F2669" s="11">
        <v>-1.1000000000000001</v>
      </c>
      <c r="G2669" s="11" t="s">
        <v>6</v>
      </c>
      <c r="H2669" s="13">
        <v>-5500</v>
      </c>
      <c r="I2669" s="14">
        <f t="shared" si="98"/>
        <v>1.4540330000000019</v>
      </c>
      <c r="J2669" s="13">
        <f t="shared" si="99"/>
        <v>179983.71000000002</v>
      </c>
    </row>
    <row r="2670" spans="1:10" x14ac:dyDescent="0.25">
      <c r="A2670" s="10">
        <v>40915</v>
      </c>
      <c r="B2670" s="11" t="s">
        <v>8</v>
      </c>
      <c r="C2670" s="11" t="s">
        <v>7</v>
      </c>
      <c r="D2670" s="16" t="str">
        <f>HYPERLINK("https://freddywills.com/pick/3337/smu-pitt-u47.html", "SMU/PITT U47")</f>
        <v>SMU/PITT U47</v>
      </c>
      <c r="E2670" s="11">
        <v>4.4000000000000004</v>
      </c>
      <c r="F2670" s="11">
        <v>-1.1000000000000001</v>
      </c>
      <c r="G2670" s="11" t="s">
        <v>4</v>
      </c>
      <c r="H2670" s="13">
        <v>4000</v>
      </c>
      <c r="I2670" s="14">
        <f t="shared" si="98"/>
        <v>1.5090330000000018</v>
      </c>
      <c r="J2670" s="13">
        <f t="shared" si="99"/>
        <v>185483.71000000002</v>
      </c>
    </row>
    <row r="2671" spans="1:10" x14ac:dyDescent="0.25">
      <c r="A2671" s="10">
        <v>40915</v>
      </c>
      <c r="B2671" s="11" t="s">
        <v>8</v>
      </c>
      <c r="C2671" s="11" t="s">
        <v>5</v>
      </c>
      <c r="D2671" s="16" t="str">
        <f>HYPERLINK("https://freddywills.com/pick/3338/smu-4.html", "SMU +4")</f>
        <v>SMU +4</v>
      </c>
      <c r="E2671" s="11">
        <v>3.3</v>
      </c>
      <c r="F2671" s="11">
        <v>-1.1000000000000001</v>
      </c>
      <c r="G2671" s="11" t="s">
        <v>4</v>
      </c>
      <c r="H2671" s="13">
        <v>3000</v>
      </c>
      <c r="I2671" s="14">
        <f t="shared" si="98"/>
        <v>1.4690330000000018</v>
      </c>
      <c r="J2671" s="13">
        <f t="shared" si="99"/>
        <v>181483.71000000002</v>
      </c>
    </row>
    <row r="2672" spans="1:10" x14ac:dyDescent="0.25">
      <c r="A2672" s="10">
        <v>40915</v>
      </c>
      <c r="B2672" s="11" t="s">
        <v>2</v>
      </c>
      <c r="C2672" s="11" t="s">
        <v>5</v>
      </c>
      <c r="D2672" s="16" t="str">
        <f>HYPERLINK("https://freddywills.com/pick/3339/texans-3-5.html", "Texans -3.5")</f>
        <v>Texans -3.5</v>
      </c>
      <c r="E2672" s="11">
        <v>4.4000000000000004</v>
      </c>
      <c r="F2672" s="11">
        <v>-1.1000000000000001</v>
      </c>
      <c r="G2672" s="11" t="s">
        <v>4</v>
      </c>
      <c r="H2672" s="13">
        <v>4000</v>
      </c>
      <c r="I2672" s="14">
        <f t="shared" si="98"/>
        <v>1.4390330000000018</v>
      </c>
      <c r="J2672" s="13">
        <f t="shared" si="99"/>
        <v>178483.71000000002</v>
      </c>
    </row>
    <row r="2673" spans="1:10" x14ac:dyDescent="0.25">
      <c r="A2673" s="10">
        <v>40915</v>
      </c>
      <c r="B2673" s="11" t="s">
        <v>2</v>
      </c>
      <c r="C2673" s="11" t="s">
        <v>3</v>
      </c>
      <c r="D2673" s="16" t="str">
        <f>HYPERLINK("https://freddywills.com/pick/3340/graham-1st-td.html", "Graham 1st TD")</f>
        <v>Graham 1st TD</v>
      </c>
      <c r="E2673" s="11">
        <v>1</v>
      </c>
      <c r="F2673" s="11">
        <v>-1.1000000000000001</v>
      </c>
      <c r="G2673" s="11" t="s">
        <v>6</v>
      </c>
      <c r="H2673" s="13">
        <v>-1000</v>
      </c>
      <c r="I2673" s="14">
        <f t="shared" si="98"/>
        <v>1.3990330000000017</v>
      </c>
      <c r="J2673" s="13">
        <f t="shared" si="99"/>
        <v>174483.71000000002</v>
      </c>
    </row>
    <row r="2674" spans="1:10" x14ac:dyDescent="0.25">
      <c r="A2674" s="10">
        <v>40915</v>
      </c>
      <c r="B2674" s="11" t="s">
        <v>2</v>
      </c>
      <c r="C2674" s="11" t="s">
        <v>3</v>
      </c>
      <c r="D2674" s="16" t="str">
        <f>HYPERLINK("https://freddywills.com/pick/3341/graham-o6-rec.html", "Graham O6 rec")</f>
        <v>Graham O6 rec</v>
      </c>
      <c r="E2674" s="11">
        <v>1</v>
      </c>
      <c r="F2674" s="11">
        <v>-1.1000000000000001</v>
      </c>
      <c r="G2674" s="11" t="s">
        <v>4</v>
      </c>
      <c r="H2674" s="13">
        <v>910</v>
      </c>
      <c r="I2674" s="14">
        <f t="shared" si="98"/>
        <v>1.4090330000000018</v>
      </c>
      <c r="J2674" s="13">
        <f t="shared" si="99"/>
        <v>175483.71000000002</v>
      </c>
    </row>
    <row r="2675" spans="1:10" x14ac:dyDescent="0.25">
      <c r="A2675" s="10">
        <v>40915</v>
      </c>
      <c r="B2675" s="11" t="s">
        <v>2</v>
      </c>
      <c r="C2675" s="11" t="s">
        <v>10</v>
      </c>
      <c r="D2675" s="16" t="str">
        <f>HYPERLINK("https://freddywills.com/pick/3342/lions-17-o53.html", "Lions +17/O53")</f>
        <v>Lions +17/O53</v>
      </c>
      <c r="E2675" s="11">
        <v>3.3</v>
      </c>
      <c r="F2675" s="11">
        <v>-1.1000000000000001</v>
      </c>
      <c r="G2675" s="11" t="s">
        <v>9</v>
      </c>
      <c r="H2675" s="13">
        <v>0</v>
      </c>
      <c r="I2675" s="14">
        <f t="shared" si="98"/>
        <v>1.3999330000000016</v>
      </c>
      <c r="J2675" s="13">
        <f t="shared" si="99"/>
        <v>174573.71000000002</v>
      </c>
    </row>
    <row r="2676" spans="1:10" x14ac:dyDescent="0.25">
      <c r="A2676" s="10">
        <v>40915</v>
      </c>
      <c r="B2676" s="11" t="s">
        <v>2</v>
      </c>
      <c r="C2676" s="11" t="s">
        <v>5</v>
      </c>
      <c r="D2676" s="16" t="str">
        <f>HYPERLINK("https://freddywills.com/pick/3343/lions-11.html", "Lions +11")</f>
        <v>Lions +11</v>
      </c>
      <c r="E2676" s="11">
        <v>4.4000000000000004</v>
      </c>
      <c r="F2676" s="11">
        <v>-1.1000000000000001</v>
      </c>
      <c r="G2676" s="11" t="s">
        <v>6</v>
      </c>
      <c r="H2676" s="13">
        <v>-4400</v>
      </c>
      <c r="I2676" s="14">
        <f t="shared" si="98"/>
        <v>1.3999330000000016</v>
      </c>
      <c r="J2676" s="13">
        <f t="shared" si="99"/>
        <v>174573.71000000002</v>
      </c>
    </row>
    <row r="2677" spans="1:10" x14ac:dyDescent="0.25">
      <c r="A2677" s="10">
        <v>40914</v>
      </c>
      <c r="B2677" s="11" t="s">
        <v>8</v>
      </c>
      <c r="C2677" s="11" t="s">
        <v>5</v>
      </c>
      <c r="D2677" s="16" t="str">
        <f>HYPERLINK("https://freddywills.com/pick/3349/arkansas-9.html", "Arkansas -9")</f>
        <v>Arkansas -9</v>
      </c>
      <c r="E2677" s="11">
        <v>4.4000000000000004</v>
      </c>
      <c r="F2677" s="11">
        <v>-1.1000000000000001</v>
      </c>
      <c r="G2677" s="11" t="s">
        <v>4</v>
      </c>
      <c r="H2677" s="13">
        <v>4000</v>
      </c>
      <c r="I2677" s="14">
        <f t="shared" si="98"/>
        <v>1.4439330000000017</v>
      </c>
      <c r="J2677" s="13">
        <f t="shared" si="99"/>
        <v>178973.71000000002</v>
      </c>
    </row>
    <row r="2678" spans="1:10" x14ac:dyDescent="0.25">
      <c r="A2678" s="10">
        <v>40912</v>
      </c>
      <c r="B2678" s="11" t="s">
        <v>8</v>
      </c>
      <c r="C2678" s="11" t="s">
        <v>5</v>
      </c>
      <c r="D2678" s="16" t="str">
        <f>HYPERLINK("https://freddywills.com/pick/3355/clemson-2-5.html", "Clemson -2.5")</f>
        <v>Clemson -2.5</v>
      </c>
      <c r="E2678" s="11">
        <v>5</v>
      </c>
      <c r="F2678" s="11">
        <v>-1.1000000000000001</v>
      </c>
      <c r="G2678" s="11" t="s">
        <v>6</v>
      </c>
      <c r="H2678" s="13">
        <v>-5000</v>
      </c>
      <c r="I2678" s="14">
        <f t="shared" si="98"/>
        <v>1.4039330000000017</v>
      </c>
      <c r="J2678" s="13">
        <f t="shared" si="99"/>
        <v>174973.71000000002</v>
      </c>
    </row>
    <row r="2679" spans="1:10" x14ac:dyDescent="0.25">
      <c r="A2679" s="10">
        <v>40911</v>
      </c>
      <c r="B2679" s="11" t="s">
        <v>8</v>
      </c>
      <c r="C2679" s="11" t="s">
        <v>5</v>
      </c>
      <c r="D2679" s="16" t="str">
        <f>HYPERLINK("https://freddywills.com/pick/3359/vtech-3-5-120.html", "VTech +3.5 -120")</f>
        <v>VTech +3.5 -120</v>
      </c>
      <c r="E2679" s="11">
        <v>5.5</v>
      </c>
      <c r="F2679" s="11">
        <v>-1.2</v>
      </c>
      <c r="G2679" s="11" t="s">
        <v>4</v>
      </c>
      <c r="H2679" s="13">
        <v>4583.33</v>
      </c>
      <c r="I2679" s="14">
        <f t="shared" si="98"/>
        <v>1.4539330000000017</v>
      </c>
      <c r="J2679" s="13">
        <f t="shared" si="99"/>
        <v>179973.71000000002</v>
      </c>
    </row>
    <row r="2680" spans="1:10" x14ac:dyDescent="0.25">
      <c r="A2680" s="10">
        <v>40910</v>
      </c>
      <c r="B2680" s="11" t="s">
        <v>8</v>
      </c>
      <c r="C2680" s="11" t="s">
        <v>7</v>
      </c>
      <c r="D2680" s="16" t="str">
        <f>HYPERLINK("https://freddywills.com/pick/3360/ohio-st-fl-u46.html", "Ohio St / FL U46")</f>
        <v>Ohio St / FL U46</v>
      </c>
      <c r="E2680" s="11">
        <v>1.1000000000000001</v>
      </c>
      <c r="F2680" s="11">
        <v>-1.1000000000000001</v>
      </c>
      <c r="G2680" s="11" t="s">
        <v>4</v>
      </c>
      <c r="H2680" s="13">
        <v>1000</v>
      </c>
      <c r="I2680" s="14">
        <f t="shared" si="98"/>
        <v>1.4080997000000017</v>
      </c>
      <c r="J2680" s="13">
        <f t="shared" si="99"/>
        <v>175390.38000000003</v>
      </c>
    </row>
    <row r="2681" spans="1:10" x14ac:dyDescent="0.25">
      <c r="A2681" s="10">
        <v>40910</v>
      </c>
      <c r="B2681" s="11" t="s">
        <v>8</v>
      </c>
      <c r="C2681" s="11" t="s">
        <v>5</v>
      </c>
      <c r="D2681" s="16" t="str">
        <f>HYPERLINK("https://freddywills.com/pick/3361/mich-st-3-100.html", "Mich St +3 +100")</f>
        <v>Mich St +3 +100</v>
      </c>
      <c r="E2681" s="11">
        <v>4</v>
      </c>
      <c r="F2681" s="11">
        <v>1</v>
      </c>
      <c r="G2681" s="11" t="s">
        <v>4</v>
      </c>
      <c r="H2681" s="13">
        <v>4000</v>
      </c>
      <c r="I2681" s="14">
        <f t="shared" si="98"/>
        <v>1.3980997000000017</v>
      </c>
      <c r="J2681" s="13">
        <f t="shared" si="99"/>
        <v>174390.38000000003</v>
      </c>
    </row>
    <row r="2682" spans="1:10" x14ac:dyDescent="0.25">
      <c r="A2682" s="10">
        <v>40910</v>
      </c>
      <c r="B2682" s="11" t="s">
        <v>8</v>
      </c>
      <c r="C2682" s="11" t="s">
        <v>7</v>
      </c>
      <c r="D2682" s="16" t="str">
        <f>HYPERLINK("https://freddywills.com/pick/3362/usc-neb-u46.html", "USC/NEB U46")</f>
        <v>USC/NEB U46</v>
      </c>
      <c r="E2682" s="11">
        <v>3.3</v>
      </c>
      <c r="F2682" s="11">
        <v>-1.1000000000000001</v>
      </c>
      <c r="G2682" s="11" t="s">
        <v>4</v>
      </c>
      <c r="H2682" s="13">
        <v>3000</v>
      </c>
      <c r="I2682" s="14">
        <f t="shared" si="98"/>
        <v>1.3580997000000017</v>
      </c>
      <c r="J2682" s="13">
        <f t="shared" si="99"/>
        <v>170390.38000000003</v>
      </c>
    </row>
    <row r="2683" spans="1:10" x14ac:dyDescent="0.25">
      <c r="A2683" s="10">
        <v>40910</v>
      </c>
      <c r="B2683" s="11" t="s">
        <v>8</v>
      </c>
      <c r="C2683" s="11" t="s">
        <v>5</v>
      </c>
      <c r="D2683" s="16" t="str">
        <f>HYPERLINK("https://freddywills.com/pick/3363/s-carolina-2-5.html", "S. Carolina -2.5")</f>
        <v>S. Carolina -2.5</v>
      </c>
      <c r="E2683" s="11">
        <v>2.2000000000000002</v>
      </c>
      <c r="F2683" s="11">
        <v>-1.1000000000000001</v>
      </c>
      <c r="G2683" s="11" t="s">
        <v>4</v>
      </c>
      <c r="H2683" s="13">
        <v>2000</v>
      </c>
      <c r="I2683" s="14">
        <f t="shared" si="98"/>
        <v>1.3280997000000017</v>
      </c>
      <c r="J2683" s="13">
        <f t="shared" si="99"/>
        <v>167390.38000000003</v>
      </c>
    </row>
    <row r="2684" spans="1:10" x14ac:dyDescent="0.25">
      <c r="A2684" s="10">
        <v>40910</v>
      </c>
      <c r="B2684" s="11" t="s">
        <v>8</v>
      </c>
      <c r="C2684" s="11" t="s">
        <v>5</v>
      </c>
      <c r="D2684" s="16" t="str">
        <f>HYPERLINK("https://freddywills.com/pick/3364/wisconsin-4.html", "Wisconsin +4")</f>
        <v>Wisconsin +4</v>
      </c>
      <c r="E2684" s="11">
        <v>4.4000000000000004</v>
      </c>
      <c r="F2684" s="11">
        <v>-1.1000000000000001</v>
      </c>
      <c r="G2684" s="11" t="s">
        <v>6</v>
      </c>
      <c r="H2684" s="13">
        <v>-4400</v>
      </c>
      <c r="I2684" s="14">
        <f t="shared" si="98"/>
        <v>1.3080997000000016</v>
      </c>
      <c r="J2684" s="13">
        <f t="shared" si="99"/>
        <v>165390.38000000003</v>
      </c>
    </row>
    <row r="2685" spans="1:10" x14ac:dyDescent="0.25">
      <c r="A2685" s="10">
        <v>40910</v>
      </c>
      <c r="B2685" s="11" t="s">
        <v>8</v>
      </c>
      <c r="C2685" s="11" t="s">
        <v>5</v>
      </c>
      <c r="D2685" s="16" t="str">
        <f>HYPERLINK("https://freddywills.com/pick/3365/stanford-4.html", "Stanford +4")</f>
        <v>Stanford +4</v>
      </c>
      <c r="E2685" s="11">
        <v>5.5</v>
      </c>
      <c r="F2685" s="11">
        <v>-1.1000000000000001</v>
      </c>
      <c r="G2685" s="11" t="s">
        <v>4</v>
      </c>
      <c r="H2685" s="13">
        <v>5000</v>
      </c>
      <c r="I2685" s="14">
        <f t="shared" si="98"/>
        <v>1.3520997000000017</v>
      </c>
      <c r="J2685" s="13">
        <f t="shared" si="99"/>
        <v>169790.38000000003</v>
      </c>
    </row>
    <row r="2686" spans="1:10" x14ac:dyDescent="0.25">
      <c r="A2686" s="10">
        <v>40909</v>
      </c>
      <c r="B2686" s="11" t="s">
        <v>8</v>
      </c>
      <c r="C2686" s="11" t="s">
        <v>5</v>
      </c>
      <c r="D2686" s="16" t="str">
        <f>HYPERLINK("https://freddywills.com/pick/3366/nwest-10.html", "Nwest +10")</f>
        <v>Nwest +10</v>
      </c>
      <c r="E2686" s="11">
        <v>5.5</v>
      </c>
      <c r="F2686" s="11">
        <v>-1.1000000000000001</v>
      </c>
      <c r="G2686" s="11" t="s">
        <v>6</v>
      </c>
      <c r="H2686" s="13">
        <v>-5500</v>
      </c>
      <c r="I2686" s="14">
        <f t="shared" si="98"/>
        <v>1.3020997000000016</v>
      </c>
      <c r="J2686" s="13">
        <f t="shared" si="99"/>
        <v>164790.38000000003</v>
      </c>
    </row>
    <row r="2687" spans="1:10" x14ac:dyDescent="0.25">
      <c r="A2687" s="10">
        <v>40909</v>
      </c>
      <c r="B2687" s="11" t="s">
        <v>8</v>
      </c>
      <c r="C2687" s="11" t="s">
        <v>18</v>
      </c>
      <c r="D2687" s="16" t="str">
        <f>HYPERLINK("https://freddywills.com/pick/3367/nwest-300.html", "Nwest +300")</f>
        <v>Nwest +300</v>
      </c>
      <c r="E2687" s="11">
        <v>1</v>
      </c>
      <c r="F2687" s="11">
        <v>3</v>
      </c>
      <c r="G2687" s="11" t="s">
        <v>6</v>
      </c>
      <c r="H2687" s="13">
        <v>-1000</v>
      </c>
      <c r="I2687" s="14">
        <f t="shared" si="98"/>
        <v>1.3570997000000016</v>
      </c>
      <c r="J2687" s="13">
        <f t="shared" si="99"/>
        <v>170290.38000000003</v>
      </c>
    </row>
    <row r="2688" spans="1:10" x14ac:dyDescent="0.25">
      <c r="A2688" s="10">
        <v>40909</v>
      </c>
      <c r="B2688" s="11" t="s">
        <v>8</v>
      </c>
      <c r="C2688" s="11" t="s">
        <v>5</v>
      </c>
      <c r="D2688" s="16" t="str">
        <f>HYPERLINK("https://freddywills.com/pick/3368/utah-3-115.html", "Utah +3 -115")</f>
        <v>Utah +3 -115</v>
      </c>
      <c r="E2688" s="11">
        <v>3.5</v>
      </c>
      <c r="F2688" s="11">
        <v>-1.1499999999999999</v>
      </c>
      <c r="G2688" s="11" t="s">
        <v>4</v>
      </c>
      <c r="H2688" s="13">
        <v>3043.48</v>
      </c>
      <c r="I2688" s="14">
        <f t="shared" si="98"/>
        <v>1.3670997000000016</v>
      </c>
      <c r="J2688" s="13">
        <f t="shared" si="99"/>
        <v>171290.38000000003</v>
      </c>
    </row>
    <row r="2689" spans="1:10" x14ac:dyDescent="0.25">
      <c r="A2689" s="10">
        <v>40909</v>
      </c>
      <c r="B2689" s="11" t="s">
        <v>8</v>
      </c>
      <c r="C2689" s="11" t="s">
        <v>7</v>
      </c>
      <c r="D2689" s="16" t="str">
        <f>HYPERLINK("https://freddywills.com/pick/3369/utah-gt-u50.html", "Utah/GT u50")</f>
        <v>Utah/GT u50</v>
      </c>
      <c r="E2689" s="11">
        <v>2.2000000000000002</v>
      </c>
      <c r="F2689" s="11">
        <v>-1.1000000000000001</v>
      </c>
      <c r="G2689" s="11" t="s">
        <v>6</v>
      </c>
      <c r="H2689" s="13">
        <v>-2200</v>
      </c>
      <c r="I2689" s="14">
        <f t="shared" si="98"/>
        <v>1.3366649000000015</v>
      </c>
      <c r="J2689" s="13">
        <f t="shared" si="99"/>
        <v>168246.90000000002</v>
      </c>
    </row>
    <row r="2690" spans="1:10" x14ac:dyDescent="0.25">
      <c r="A2690" s="10">
        <v>40909</v>
      </c>
      <c r="B2690" s="11" t="s">
        <v>8</v>
      </c>
      <c r="C2690" s="11" t="s">
        <v>5</v>
      </c>
      <c r="D2690" s="16" t="str">
        <f>HYPERLINK("https://freddywills.com/pick/3370/ill-2.html", "Ill -2")</f>
        <v>Ill -2</v>
      </c>
      <c r="E2690" s="11">
        <v>3.3</v>
      </c>
      <c r="F2690" s="11">
        <v>-1.1000000000000001</v>
      </c>
      <c r="G2690" s="11" t="s">
        <v>4</v>
      </c>
      <c r="H2690" s="13">
        <v>3000</v>
      </c>
      <c r="I2690" s="14">
        <f t="shared" si="98"/>
        <v>1.3586649000000015</v>
      </c>
      <c r="J2690" s="13">
        <f t="shared" si="99"/>
        <v>170446.90000000002</v>
      </c>
    </row>
    <row r="2691" spans="1:10" x14ac:dyDescent="0.25">
      <c r="A2691" s="10">
        <v>40909</v>
      </c>
      <c r="B2691" s="11" t="s">
        <v>8</v>
      </c>
      <c r="C2691" s="11" t="s">
        <v>5</v>
      </c>
      <c r="D2691" s="16" t="str">
        <f>HYPERLINK("https://freddywills.com/pick/3371/virginia-3-5.html", "Virginia +3.5")</f>
        <v>Virginia +3.5</v>
      </c>
      <c r="E2691" s="11">
        <v>4.5</v>
      </c>
      <c r="F2691" s="11">
        <v>-1.1000000000000001</v>
      </c>
      <c r="G2691" s="11" t="s">
        <v>6</v>
      </c>
      <c r="H2691" s="13">
        <v>-4500</v>
      </c>
      <c r="I2691" s="14">
        <f t="shared" si="98"/>
        <v>1.3286649000000015</v>
      </c>
      <c r="J2691" s="13">
        <f t="shared" si="99"/>
        <v>167446.90000000002</v>
      </c>
    </row>
    <row r="2692" spans="1:10" x14ac:dyDescent="0.25">
      <c r="A2692" s="10">
        <v>40909</v>
      </c>
      <c r="B2692" s="11" t="s">
        <v>2</v>
      </c>
      <c r="C2692" s="11" t="s">
        <v>5</v>
      </c>
      <c r="D2692" s="16" t="str">
        <f>HYPERLINK("https://freddywills.com/pick/3375/vikings-1.html", "Vikings -1")</f>
        <v>Vikings -1</v>
      </c>
      <c r="E2692" s="11">
        <v>5.5</v>
      </c>
      <c r="F2692" s="11">
        <v>-1.1000000000000001</v>
      </c>
      <c r="G2692" s="11" t="s">
        <v>6</v>
      </c>
      <c r="H2692" s="13">
        <v>-5500</v>
      </c>
      <c r="I2692" s="14">
        <f t="shared" si="98"/>
        <v>1.3736649000000014</v>
      </c>
      <c r="J2692" s="13">
        <f t="shared" si="99"/>
        <v>171946.90000000002</v>
      </c>
    </row>
    <row r="2693" spans="1:10" x14ac:dyDescent="0.25">
      <c r="A2693" s="10">
        <v>40909</v>
      </c>
      <c r="B2693" s="11" t="s">
        <v>2</v>
      </c>
      <c r="C2693" s="11" t="s">
        <v>5</v>
      </c>
      <c r="D2693" s="16" t="str">
        <f>HYPERLINK("https://freddywills.com/pick/3376/lions-3.html", "Lions -3")</f>
        <v>Lions -3</v>
      </c>
      <c r="E2693" s="11">
        <v>3.3</v>
      </c>
      <c r="F2693" s="11">
        <v>-1.1000000000000001</v>
      </c>
      <c r="G2693" s="11" t="s">
        <v>6</v>
      </c>
      <c r="H2693" s="13">
        <v>-3300</v>
      </c>
      <c r="I2693" s="14">
        <f t="shared" si="98"/>
        <v>1.4286649000000013</v>
      </c>
      <c r="J2693" s="13">
        <f t="shared" si="99"/>
        <v>177446.90000000002</v>
      </c>
    </row>
    <row r="2694" spans="1:10" x14ac:dyDescent="0.25">
      <c r="A2694" s="10">
        <v>40907</v>
      </c>
      <c r="B2694" s="11" t="s">
        <v>8</v>
      </c>
      <c r="C2694" s="11" t="s">
        <v>5</v>
      </c>
      <c r="D2694" s="16" t="str">
        <f>HYPERLINK("https://freddywills.com/pick/3377/byu-1.html", "BYU +1")</f>
        <v>BYU +1</v>
      </c>
      <c r="E2694" s="11">
        <v>4.4000000000000004</v>
      </c>
      <c r="F2694" s="11">
        <v>-1.1000000000000001</v>
      </c>
      <c r="G2694" s="11" t="s">
        <v>4</v>
      </c>
      <c r="H2694" s="13">
        <v>4000</v>
      </c>
      <c r="I2694" s="14">
        <f t="shared" si="98"/>
        <v>1.4616649000000013</v>
      </c>
      <c r="J2694" s="13">
        <f t="shared" si="99"/>
        <v>180746.90000000002</v>
      </c>
    </row>
    <row r="2695" spans="1:10" x14ac:dyDescent="0.25">
      <c r="A2695" s="10">
        <v>40907</v>
      </c>
      <c r="B2695" s="11" t="s">
        <v>8</v>
      </c>
      <c r="C2695" s="11" t="s">
        <v>5</v>
      </c>
      <c r="D2695" s="16" t="str">
        <f>HYPERLINK("https://freddywills.com/pick/3378/iowa-st-1.html", "Iowa St +1")</f>
        <v>Iowa St +1</v>
      </c>
      <c r="E2695" s="11">
        <v>3.3</v>
      </c>
      <c r="F2695" s="11">
        <v>-1.1000000000000001</v>
      </c>
      <c r="G2695" s="11" t="s">
        <v>6</v>
      </c>
      <c r="H2695" s="13">
        <v>-3300</v>
      </c>
      <c r="I2695" s="14">
        <f t="shared" si="98"/>
        <v>1.4216649000000012</v>
      </c>
      <c r="J2695" s="13">
        <f t="shared" si="99"/>
        <v>176746.90000000002</v>
      </c>
    </row>
    <row r="2696" spans="1:10" x14ac:dyDescent="0.25">
      <c r="A2696" s="10">
        <v>40907</v>
      </c>
      <c r="B2696" s="11" t="s">
        <v>8</v>
      </c>
      <c r="C2696" s="11" t="s">
        <v>7</v>
      </c>
      <c r="D2696" s="16" t="str">
        <f>HYPERLINK("https://freddywills.com/pick/3379/iowa-st-rutgers-u45.html", "Iowa St/Rutgers U45")</f>
        <v>Iowa St/Rutgers U45</v>
      </c>
      <c r="E2696" s="11">
        <v>4.4000000000000004</v>
      </c>
      <c r="F2696" s="11">
        <v>-1.1000000000000001</v>
      </c>
      <c r="G2696" s="11" t="s">
        <v>4</v>
      </c>
      <c r="H2696" s="13">
        <v>4000</v>
      </c>
      <c r="I2696" s="14">
        <f t="shared" si="98"/>
        <v>1.4546649000000011</v>
      </c>
      <c r="J2696" s="13">
        <f t="shared" si="99"/>
        <v>180046.90000000002</v>
      </c>
    </row>
    <row r="2697" spans="1:10" x14ac:dyDescent="0.25">
      <c r="A2697" s="10">
        <v>40907</v>
      </c>
      <c r="B2697" s="11" t="s">
        <v>8</v>
      </c>
      <c r="C2697" s="11" t="s">
        <v>5</v>
      </c>
      <c r="D2697" s="16" t="str">
        <f>HYPERLINK("https://freddywills.com/pick/3380/iowa-14-wow.html", "Iowa +14 WOW!!")</f>
        <v>Iowa +14 WOW!!</v>
      </c>
      <c r="E2697" s="11">
        <v>3.3</v>
      </c>
      <c r="F2697" s="11">
        <v>-1.1000000000000001</v>
      </c>
      <c r="G2697" s="11" t="s">
        <v>6</v>
      </c>
      <c r="H2697" s="13">
        <v>-3300</v>
      </c>
      <c r="I2697" s="14">
        <f t="shared" si="98"/>
        <v>1.4146649000000011</v>
      </c>
      <c r="J2697" s="13">
        <f t="shared" si="99"/>
        <v>176046.90000000002</v>
      </c>
    </row>
    <row r="2698" spans="1:10" x14ac:dyDescent="0.25">
      <c r="A2698" s="10">
        <v>40906</v>
      </c>
      <c r="B2698" s="11" t="s">
        <v>8</v>
      </c>
      <c r="C2698" s="11" t="s">
        <v>5</v>
      </c>
      <c r="D2698" s="16" t="str">
        <f>HYPERLINK("https://freddywills.com/pick/3382/notre-dame-4-wow.html", "Notre Dame +4 wow")</f>
        <v>Notre Dame +4 wow</v>
      </c>
      <c r="E2698" s="11">
        <v>5.5</v>
      </c>
      <c r="F2698" s="11">
        <v>-1.1000000000000001</v>
      </c>
      <c r="G2698" s="11" t="s">
        <v>9</v>
      </c>
      <c r="H2698" s="13">
        <v>0</v>
      </c>
      <c r="I2698" s="14">
        <f t="shared" si="98"/>
        <v>1.447664900000001</v>
      </c>
      <c r="J2698" s="13">
        <f t="shared" si="99"/>
        <v>179346.90000000002</v>
      </c>
    </row>
    <row r="2699" spans="1:10" x14ac:dyDescent="0.25">
      <c r="A2699" s="10">
        <v>40906</v>
      </c>
      <c r="B2699" s="11" t="s">
        <v>8</v>
      </c>
      <c r="C2699" s="11" t="s">
        <v>18</v>
      </c>
      <c r="D2699" s="16" t="str">
        <f>HYPERLINK("https://freddywills.com/pick/3383/notre-dame-155.html", "Notre Dame +155")</f>
        <v>Notre Dame +155</v>
      </c>
      <c r="E2699" s="11">
        <v>3</v>
      </c>
      <c r="F2699" s="11">
        <v>1.55</v>
      </c>
      <c r="G2699" s="11" t="s">
        <v>6</v>
      </c>
      <c r="H2699" s="13">
        <v>-3000</v>
      </c>
      <c r="I2699" s="14">
        <f t="shared" si="98"/>
        <v>1.447664900000001</v>
      </c>
      <c r="J2699" s="13">
        <f t="shared" si="99"/>
        <v>179346.90000000002</v>
      </c>
    </row>
    <row r="2700" spans="1:10" x14ac:dyDescent="0.25">
      <c r="A2700" s="10">
        <v>40906</v>
      </c>
      <c r="B2700" s="11" t="s">
        <v>8</v>
      </c>
      <c r="C2700" s="11" t="s">
        <v>7</v>
      </c>
      <c r="D2700" s="16" t="str">
        <f>HYPERLINK("https://freddywills.com/pick/3384/nd-fsu-u47.html", "ND/FSU U47")</f>
        <v>ND/FSU U47</v>
      </c>
      <c r="E2700" s="11">
        <v>3.3</v>
      </c>
      <c r="F2700" s="11">
        <v>-1.1000000000000001</v>
      </c>
      <c r="G2700" s="11" t="s">
        <v>4</v>
      </c>
      <c r="H2700" s="13">
        <v>3000</v>
      </c>
      <c r="I2700" s="14">
        <f t="shared" si="98"/>
        <v>1.4776649000000011</v>
      </c>
      <c r="J2700" s="13">
        <f t="shared" si="99"/>
        <v>182346.90000000002</v>
      </c>
    </row>
    <row r="2701" spans="1:10" x14ac:dyDescent="0.25">
      <c r="A2701" s="10">
        <v>40906</v>
      </c>
      <c r="B2701" s="11" t="s">
        <v>8</v>
      </c>
      <c r="C2701" s="11" t="s">
        <v>5</v>
      </c>
      <c r="D2701" s="16" t="str">
        <f>HYPERLINK("https://freddywills.com/pick/3385/washington-10-340-wow.html", "Washington +10/ +340 WOW!")</f>
        <v>Washington +10/ +340 WOW!</v>
      </c>
      <c r="E2701" s="11">
        <v>4.5</v>
      </c>
      <c r="F2701" s="11">
        <v>3.4</v>
      </c>
      <c r="G2701" s="11" t="s">
        <v>6</v>
      </c>
      <c r="H2701" s="13">
        <v>-4500</v>
      </c>
      <c r="I2701" s="14">
        <f t="shared" si="98"/>
        <v>1.447664900000001</v>
      </c>
      <c r="J2701" s="13">
        <f t="shared" si="99"/>
        <v>179346.90000000002</v>
      </c>
    </row>
    <row r="2702" spans="1:10" x14ac:dyDescent="0.25">
      <c r="A2702" s="10">
        <v>40905</v>
      </c>
      <c r="B2702" s="11" t="s">
        <v>8</v>
      </c>
      <c r="C2702" s="11" t="s">
        <v>5</v>
      </c>
      <c r="D2702" s="16" t="str">
        <f>HYPERLINK("https://freddywills.com/pick/3389/toledo-3.html", "Toledo -3")</f>
        <v>Toledo -3</v>
      </c>
      <c r="E2702" s="11">
        <v>5</v>
      </c>
      <c r="F2702" s="11">
        <v>-1.1000000000000001</v>
      </c>
      <c r="G2702" s="11" t="s">
        <v>6</v>
      </c>
      <c r="H2702" s="13">
        <v>-5000</v>
      </c>
      <c r="I2702" s="14">
        <f t="shared" si="98"/>
        <v>1.492664900000001</v>
      </c>
      <c r="J2702" s="13">
        <f t="shared" si="99"/>
        <v>183846.90000000002</v>
      </c>
    </row>
    <row r="2703" spans="1:10" x14ac:dyDescent="0.25">
      <c r="A2703" s="10">
        <v>40905</v>
      </c>
      <c r="B2703" s="11" t="s">
        <v>8</v>
      </c>
      <c r="C2703" s="11" t="s">
        <v>7</v>
      </c>
      <c r="D2703" s="16" t="str">
        <f>HYPERLINK("https://freddywills.com/pick/3390/cal-tex-u49.html", "Cal/Tex U49")</f>
        <v>Cal/Tex U49</v>
      </c>
      <c r="E2703" s="11">
        <v>4.4000000000000004</v>
      </c>
      <c r="F2703" s="11">
        <v>-1.1000000000000001</v>
      </c>
      <c r="G2703" s="11" t="s">
        <v>4</v>
      </c>
      <c r="H2703" s="13">
        <v>4000</v>
      </c>
      <c r="I2703" s="14">
        <f t="shared" si="98"/>
        <v>1.542664900000001</v>
      </c>
      <c r="J2703" s="13">
        <f t="shared" si="99"/>
        <v>188846.90000000002</v>
      </c>
    </row>
    <row r="2704" spans="1:10" x14ac:dyDescent="0.25">
      <c r="A2704" s="10">
        <v>40905</v>
      </c>
      <c r="B2704" s="11" t="s">
        <v>8</v>
      </c>
      <c r="C2704" s="11" t="s">
        <v>5</v>
      </c>
      <c r="D2704" s="16" t="str">
        <f>HYPERLINK("https://freddywills.com/pick/3391/cal-4.html", "Cal +4")</f>
        <v>Cal +4</v>
      </c>
      <c r="E2704" s="11">
        <v>3</v>
      </c>
      <c r="F2704" s="11">
        <v>-1.1000000000000001</v>
      </c>
      <c r="G2704" s="11" t="s">
        <v>6</v>
      </c>
      <c r="H2704" s="13">
        <v>-3000</v>
      </c>
      <c r="I2704" s="14">
        <f t="shared" si="98"/>
        <v>1.502664900000001</v>
      </c>
      <c r="J2704" s="13">
        <f t="shared" si="99"/>
        <v>184846.90000000002</v>
      </c>
    </row>
    <row r="2705" spans="1:10" x14ac:dyDescent="0.25">
      <c r="A2705" s="10">
        <v>40904</v>
      </c>
      <c r="B2705" s="11" t="s">
        <v>8</v>
      </c>
      <c r="C2705" s="11" t="s">
        <v>5</v>
      </c>
      <c r="D2705" s="16" t="str">
        <f>HYPERLINK("https://freddywills.com/pick/3393/wm-3.html", "WM +3")</f>
        <v>WM +3</v>
      </c>
      <c r="E2705" s="11">
        <v>3.3</v>
      </c>
      <c r="F2705" s="11">
        <v>-1.1000000000000001</v>
      </c>
      <c r="G2705" s="11" t="s">
        <v>6</v>
      </c>
      <c r="H2705" s="13">
        <v>-3300</v>
      </c>
      <c r="I2705" s="14">
        <f t="shared" si="98"/>
        <v>1.532664900000001</v>
      </c>
      <c r="J2705" s="13">
        <f t="shared" si="99"/>
        <v>187846.90000000002</v>
      </c>
    </row>
    <row r="2706" spans="1:10" x14ac:dyDescent="0.25">
      <c r="A2706" s="10">
        <v>40904</v>
      </c>
      <c r="B2706" s="11" t="s">
        <v>8</v>
      </c>
      <c r="C2706" s="11" t="s">
        <v>5</v>
      </c>
      <c r="D2706" s="16" t="str">
        <f>HYPERLINK("https://freddywills.com/pick/3394/louisville-1-5.html", "Louisville +1.5")</f>
        <v>Louisville +1.5</v>
      </c>
      <c r="E2706" s="11">
        <v>4.4000000000000004</v>
      </c>
      <c r="F2706" s="11">
        <v>-1.1000000000000001</v>
      </c>
      <c r="G2706" s="11" t="s">
        <v>6</v>
      </c>
      <c r="H2706" s="13">
        <v>-4400</v>
      </c>
      <c r="I2706" s="14">
        <f t="shared" si="98"/>
        <v>1.5656649000000009</v>
      </c>
      <c r="J2706" s="13">
        <f t="shared" si="99"/>
        <v>191146.90000000002</v>
      </c>
    </row>
    <row r="2707" spans="1:10" x14ac:dyDescent="0.25">
      <c r="A2707" s="10">
        <v>40903</v>
      </c>
      <c r="B2707" s="11" t="s">
        <v>8</v>
      </c>
      <c r="C2707" s="11" t="s">
        <v>5</v>
      </c>
      <c r="D2707" s="16" t="str">
        <f>HYPERLINK("https://freddywills.com/pick/3395/unc-6-unc-210.html", "UNC +6; UNC +210")</f>
        <v>UNC +6; UNC +210</v>
      </c>
      <c r="E2707" s="11">
        <v>5.4</v>
      </c>
      <c r="F2707" s="11">
        <v>2.1</v>
      </c>
      <c r="G2707" s="11" t="s">
        <v>6</v>
      </c>
      <c r="H2707" s="13">
        <v>-5400</v>
      </c>
      <c r="I2707" s="14">
        <f t="shared" si="98"/>
        <v>1.609664900000001</v>
      </c>
      <c r="J2707" s="13">
        <f t="shared" si="99"/>
        <v>195546.90000000002</v>
      </c>
    </row>
    <row r="2708" spans="1:10" x14ac:dyDescent="0.25">
      <c r="A2708" s="10">
        <v>40903</v>
      </c>
      <c r="B2708" s="11" t="s">
        <v>2</v>
      </c>
      <c r="C2708" s="11" t="s">
        <v>5</v>
      </c>
      <c r="D2708" s="16" t="str">
        <f>HYPERLINK("https://freddywills.com/pick/3396/falcons-7-5.html", "Falcons +7.5")</f>
        <v>Falcons +7.5</v>
      </c>
      <c r="E2708" s="11">
        <v>5.5</v>
      </c>
      <c r="F2708" s="11">
        <v>-1.1000000000000001</v>
      </c>
      <c r="G2708" s="11" t="s">
        <v>6</v>
      </c>
      <c r="H2708" s="13">
        <v>-5500</v>
      </c>
      <c r="I2708" s="14">
        <f t="shared" si="98"/>
        <v>1.663664900000001</v>
      </c>
      <c r="J2708" s="13">
        <f t="shared" si="99"/>
        <v>200946.90000000002</v>
      </c>
    </row>
    <row r="2709" spans="1:10" x14ac:dyDescent="0.25">
      <c r="A2709" s="10">
        <v>40902</v>
      </c>
      <c r="B2709" s="11" t="s">
        <v>2</v>
      </c>
      <c r="C2709" s="11" t="s">
        <v>5</v>
      </c>
      <c r="D2709" s="16" t="str">
        <f>HYPERLINK("https://freddywills.com/pick/3400/bears-12.html", "Bears +12")</f>
        <v>Bears +12</v>
      </c>
      <c r="E2709" s="11">
        <v>4.4000000000000004</v>
      </c>
      <c r="F2709" s="11">
        <v>-1.1000000000000001</v>
      </c>
      <c r="G2709" s="11" t="s">
        <v>6</v>
      </c>
      <c r="H2709" s="13">
        <v>-4400</v>
      </c>
      <c r="I2709" s="14">
        <f t="shared" si="98"/>
        <v>1.7186649000000009</v>
      </c>
      <c r="J2709" s="13">
        <f t="shared" si="99"/>
        <v>206446.90000000002</v>
      </c>
    </row>
    <row r="2710" spans="1:10" x14ac:dyDescent="0.25">
      <c r="A2710" s="10">
        <v>40902</v>
      </c>
      <c r="B2710" s="11" t="s">
        <v>2</v>
      </c>
      <c r="C2710" s="11" t="s">
        <v>10</v>
      </c>
      <c r="D2710" s="16" t="str">
        <f>HYPERLINK("https://freddywills.com/pick/3401/bears-18-u48.html", "Bears +18 U48")</f>
        <v>Bears +18 U48</v>
      </c>
      <c r="E2710" s="11">
        <v>2.2000000000000002</v>
      </c>
      <c r="F2710" s="11">
        <v>-1.1000000000000001</v>
      </c>
      <c r="G2710" s="11" t="s">
        <v>6</v>
      </c>
      <c r="H2710" s="13">
        <v>-2200</v>
      </c>
      <c r="I2710" s="14">
        <f t="shared" si="98"/>
        <v>1.762664900000001</v>
      </c>
      <c r="J2710" s="13">
        <f t="shared" si="99"/>
        <v>210846.90000000002</v>
      </c>
    </row>
    <row r="2711" spans="1:10" x14ac:dyDescent="0.25">
      <c r="A2711" s="10">
        <v>40901</v>
      </c>
      <c r="B2711" s="11" t="s">
        <v>8</v>
      </c>
      <c r="C2711" s="11" t="s">
        <v>5</v>
      </c>
      <c r="D2711" s="16" t="str">
        <f>HYPERLINK("https://freddywills.com/pick/3404/nevada-8.html", "Nevada +8")</f>
        <v>Nevada +8</v>
      </c>
      <c r="E2711" s="11">
        <v>4.4000000000000004</v>
      </c>
      <c r="F2711" s="11">
        <v>-1.1000000000000001</v>
      </c>
      <c r="G2711" s="11" t="s">
        <v>4</v>
      </c>
      <c r="H2711" s="13">
        <v>4000</v>
      </c>
      <c r="I2711" s="14">
        <f t="shared" si="98"/>
        <v>1.784664900000001</v>
      </c>
      <c r="J2711" s="13">
        <f t="shared" si="99"/>
        <v>213046.90000000002</v>
      </c>
    </row>
    <row r="2712" spans="1:10" x14ac:dyDescent="0.25">
      <c r="A2712" s="10">
        <v>40901</v>
      </c>
      <c r="B2712" s="11" t="s">
        <v>8</v>
      </c>
      <c r="C2712" s="11" t="s">
        <v>10</v>
      </c>
      <c r="D2712" s="16" t="str">
        <f>HYPERLINK("https://freddywills.com/pick/3405/nevada-14-o57.html", "Nevada +14/ O57")</f>
        <v>Nevada +14/ O57</v>
      </c>
      <c r="E2712" s="11">
        <v>2.2000000000000002</v>
      </c>
      <c r="F2712" s="11">
        <v>-1.1000000000000001</v>
      </c>
      <c r="G2712" s="11" t="s">
        <v>6</v>
      </c>
      <c r="H2712" s="13">
        <v>-2200</v>
      </c>
      <c r="I2712" s="14">
        <f t="shared" ref="I2712:I2775" si="100">(H2712/100000)+I2713</f>
        <v>1.744664900000001</v>
      </c>
      <c r="J2712" s="13">
        <f t="shared" ref="J2712:J2775" si="101">H2712+J2713</f>
        <v>209046.90000000002</v>
      </c>
    </row>
    <row r="2713" spans="1:10" x14ac:dyDescent="0.25">
      <c r="A2713" s="10">
        <v>40901</v>
      </c>
      <c r="B2713" s="11" t="s">
        <v>2</v>
      </c>
      <c r="C2713" s="11" t="s">
        <v>5</v>
      </c>
      <c r="D2713" s="16" t="str">
        <f>HYPERLINK("https://freddywills.com/pick/3406/chargers-2.html", "Chargers +2")</f>
        <v>Chargers +2</v>
      </c>
      <c r="E2713" s="11">
        <v>5.5</v>
      </c>
      <c r="F2713" s="11">
        <v>-1.1000000000000001</v>
      </c>
      <c r="G2713" s="11" t="s">
        <v>6</v>
      </c>
      <c r="H2713" s="13">
        <v>-5500</v>
      </c>
      <c r="I2713" s="14">
        <f t="shared" si="100"/>
        <v>1.766664900000001</v>
      </c>
      <c r="J2713" s="13">
        <f t="shared" si="101"/>
        <v>211246.90000000002</v>
      </c>
    </row>
    <row r="2714" spans="1:10" x14ac:dyDescent="0.25">
      <c r="A2714" s="10">
        <v>40901</v>
      </c>
      <c r="B2714" s="11" t="s">
        <v>2</v>
      </c>
      <c r="C2714" s="11" t="s">
        <v>5</v>
      </c>
      <c r="D2714" s="16" t="str">
        <f>HYPERLINK("https://freddywills.com/pick/3407/eagles-1-5.html", "Eagles +1.5")</f>
        <v>Eagles +1.5</v>
      </c>
      <c r="E2714" s="11">
        <v>4.4000000000000004</v>
      </c>
      <c r="F2714" s="11">
        <v>-1.1000000000000001</v>
      </c>
      <c r="G2714" s="11" t="s">
        <v>4</v>
      </c>
      <c r="H2714" s="13">
        <v>4000</v>
      </c>
      <c r="I2714" s="14">
        <f t="shared" si="100"/>
        <v>1.8216649000000009</v>
      </c>
      <c r="J2714" s="13">
        <f t="shared" si="101"/>
        <v>216746.90000000002</v>
      </c>
    </row>
    <row r="2715" spans="1:10" x14ac:dyDescent="0.25">
      <c r="A2715" s="10">
        <v>40901</v>
      </c>
      <c r="B2715" s="11" t="s">
        <v>2</v>
      </c>
      <c r="C2715" s="11" t="s">
        <v>5</v>
      </c>
      <c r="D2715" s="16" t="str">
        <f>HYPERLINK("https://freddywills.com/pick/3408/seahawks-2.html", "Seahawks +2")</f>
        <v>Seahawks +2</v>
      </c>
      <c r="E2715" s="11">
        <v>3.3</v>
      </c>
      <c r="F2715" s="11">
        <v>-1.1000000000000001</v>
      </c>
      <c r="G2715" s="11" t="s">
        <v>9</v>
      </c>
      <c r="H2715" s="13">
        <v>0</v>
      </c>
      <c r="I2715" s="14">
        <f t="shared" si="100"/>
        <v>1.7816649000000009</v>
      </c>
      <c r="J2715" s="13">
        <f t="shared" si="101"/>
        <v>212746.90000000002</v>
      </c>
    </row>
    <row r="2716" spans="1:10" x14ac:dyDescent="0.25">
      <c r="A2716" s="10">
        <v>40901</v>
      </c>
      <c r="B2716" s="11" t="s">
        <v>2</v>
      </c>
      <c r="C2716" s="11" t="s">
        <v>10</v>
      </c>
      <c r="D2716" s="16" t="str">
        <f>HYPERLINK("https://freddywills.com/pick/3409/seahawks-8-eagles-7-5.html", "Seahawks +8/Eagles +7.5")</f>
        <v>Seahawks +8/Eagles +7.5</v>
      </c>
      <c r="E2716" s="11">
        <v>3.3</v>
      </c>
      <c r="F2716" s="11">
        <v>-1.1000000000000001</v>
      </c>
      <c r="G2716" s="11" t="s">
        <v>4</v>
      </c>
      <c r="H2716" s="13">
        <v>3000</v>
      </c>
      <c r="I2716" s="14">
        <f t="shared" si="100"/>
        <v>1.7816649000000009</v>
      </c>
      <c r="J2716" s="13">
        <f t="shared" si="101"/>
        <v>212746.90000000002</v>
      </c>
    </row>
    <row r="2717" spans="1:10" x14ac:dyDescent="0.25">
      <c r="A2717" s="10">
        <v>40901</v>
      </c>
      <c r="B2717" s="11" t="s">
        <v>2</v>
      </c>
      <c r="C2717" s="11" t="s">
        <v>5</v>
      </c>
      <c r="D2717" s="16" t="str">
        <f>HYPERLINK("https://freddywills.com/pick/3410/vikings-7.html", "Vikings +7")</f>
        <v>Vikings +7</v>
      </c>
      <c r="E2717" s="11">
        <v>4.4000000000000004</v>
      </c>
      <c r="F2717" s="11">
        <v>-1.1000000000000001</v>
      </c>
      <c r="G2717" s="11" t="s">
        <v>4</v>
      </c>
      <c r="H2717" s="13">
        <v>4000</v>
      </c>
      <c r="I2717" s="14">
        <f t="shared" si="100"/>
        <v>1.7516649000000009</v>
      </c>
      <c r="J2717" s="13">
        <f t="shared" si="101"/>
        <v>209746.90000000002</v>
      </c>
    </row>
    <row r="2718" spans="1:10" x14ac:dyDescent="0.25">
      <c r="A2718" s="10">
        <v>40901</v>
      </c>
      <c r="B2718" s="11" t="s">
        <v>2</v>
      </c>
      <c r="C2718" s="11" t="s">
        <v>5</v>
      </c>
      <c r="D2718" s="16" t="str">
        <f>HYPERLINK("https://freddywills.com/pick/3411/cardinals-4-5.html", "Cardinals +4.5")</f>
        <v>Cardinals +4.5</v>
      </c>
      <c r="E2718" s="11">
        <v>2.2000000000000002</v>
      </c>
      <c r="F2718" s="11">
        <v>-1.1000000000000001</v>
      </c>
      <c r="G2718" s="11" t="s">
        <v>6</v>
      </c>
      <c r="H2718" s="13">
        <v>-2200</v>
      </c>
      <c r="I2718" s="14">
        <f t="shared" si="100"/>
        <v>1.7116649000000008</v>
      </c>
      <c r="J2718" s="13">
        <f t="shared" si="101"/>
        <v>205746.90000000002</v>
      </c>
    </row>
    <row r="2719" spans="1:10" x14ac:dyDescent="0.25">
      <c r="A2719" s="10">
        <v>40899</v>
      </c>
      <c r="B2719" s="11" t="s">
        <v>2</v>
      </c>
      <c r="C2719" s="11" t="s">
        <v>7</v>
      </c>
      <c r="D2719" s="16" t="str">
        <f>HYPERLINK("https://freddywills.com/pick/3413/colts-texans-u40-5.html", "Colts/Texans U40.5")</f>
        <v>Colts/Texans U40.5</v>
      </c>
      <c r="E2719" s="11">
        <v>4.4000000000000004</v>
      </c>
      <c r="F2719" s="11">
        <v>-1.1000000000000001</v>
      </c>
      <c r="G2719" s="11" t="s">
        <v>4</v>
      </c>
      <c r="H2719" s="13">
        <v>4000</v>
      </c>
      <c r="I2719" s="14">
        <f t="shared" si="100"/>
        <v>1.7336649000000008</v>
      </c>
      <c r="J2719" s="13">
        <f t="shared" si="101"/>
        <v>207946.90000000002</v>
      </c>
    </row>
    <row r="2720" spans="1:10" x14ac:dyDescent="0.25">
      <c r="A2720" s="10">
        <v>40899</v>
      </c>
      <c r="B2720" s="11" t="s">
        <v>2</v>
      </c>
      <c r="C2720" s="11" t="s">
        <v>5</v>
      </c>
      <c r="D2720" s="16" t="str">
        <f>HYPERLINK("https://freddywills.com/pick/3414/colts-7.html", "Colts +7")</f>
        <v>Colts +7</v>
      </c>
      <c r="E2720" s="11">
        <v>2.2000000000000002</v>
      </c>
      <c r="F2720" s="11">
        <v>-1.1000000000000001</v>
      </c>
      <c r="G2720" s="11" t="s">
        <v>4</v>
      </c>
      <c r="H2720" s="13">
        <v>2000</v>
      </c>
      <c r="I2720" s="14">
        <f t="shared" si="100"/>
        <v>1.6936649000000008</v>
      </c>
      <c r="J2720" s="13">
        <f t="shared" si="101"/>
        <v>203946.90000000002</v>
      </c>
    </row>
    <row r="2721" spans="1:10" x14ac:dyDescent="0.25">
      <c r="A2721" s="10">
        <v>40899</v>
      </c>
      <c r="B2721" s="11" t="s">
        <v>8</v>
      </c>
      <c r="C2721" s="11" t="s">
        <v>5</v>
      </c>
      <c r="D2721" s="16" t="str">
        <f>HYPERLINK("https://freddywills.com/pick/3415/az-st-14-5.html", "AZ St +14.5")</f>
        <v>AZ St +14.5</v>
      </c>
      <c r="E2721" s="11">
        <v>4.4000000000000004</v>
      </c>
      <c r="F2721" s="11">
        <v>-1.1000000000000001</v>
      </c>
      <c r="G2721" s="11" t="s">
        <v>6</v>
      </c>
      <c r="H2721" s="13">
        <v>-4400</v>
      </c>
      <c r="I2721" s="14">
        <f t="shared" si="100"/>
        <v>1.6736649000000008</v>
      </c>
      <c r="J2721" s="13">
        <f t="shared" si="101"/>
        <v>201946.90000000002</v>
      </c>
    </row>
    <row r="2722" spans="1:10" x14ac:dyDescent="0.25">
      <c r="A2722" s="10">
        <v>40898</v>
      </c>
      <c r="B2722" s="11" t="s">
        <v>8</v>
      </c>
      <c r="C2722" s="11" t="s">
        <v>5</v>
      </c>
      <c r="D2722" s="16" t="str">
        <f>HYPERLINK("https://freddywills.com/pick/3420/la-tech-10-120.html", "La Tech +10 -120")</f>
        <v>La Tech +10 -120</v>
      </c>
      <c r="E2722" s="11">
        <v>5.5</v>
      </c>
      <c r="F2722" s="11">
        <v>-1.1000000000000001</v>
      </c>
      <c r="G2722" s="11" t="s">
        <v>4</v>
      </c>
      <c r="H2722" s="13">
        <v>5000</v>
      </c>
      <c r="I2722" s="14">
        <f t="shared" si="100"/>
        <v>1.7176649000000008</v>
      </c>
      <c r="J2722" s="13">
        <f t="shared" si="101"/>
        <v>206346.90000000002</v>
      </c>
    </row>
    <row r="2723" spans="1:10" x14ac:dyDescent="0.25">
      <c r="A2723" s="10">
        <v>40897</v>
      </c>
      <c r="B2723" s="11" t="s">
        <v>8</v>
      </c>
      <c r="C2723" s="11" t="s">
        <v>5</v>
      </c>
      <c r="D2723" s="16" t="str">
        <f>HYPERLINK("https://freddywills.com/pick/3423/fiu-4.html", "FIU -4")</f>
        <v>FIU -4</v>
      </c>
      <c r="E2723" s="11">
        <v>4.4000000000000004</v>
      </c>
      <c r="F2723" s="11">
        <v>-1.1000000000000001</v>
      </c>
      <c r="G2723" s="11" t="s">
        <v>6</v>
      </c>
      <c r="H2723" s="13">
        <v>-4400</v>
      </c>
      <c r="I2723" s="14">
        <f t="shared" si="100"/>
        <v>1.6676649000000008</v>
      </c>
      <c r="J2723" s="13">
        <f t="shared" si="101"/>
        <v>201346.90000000002</v>
      </c>
    </row>
    <row r="2724" spans="1:10" x14ac:dyDescent="0.25">
      <c r="A2724" s="10">
        <v>40896</v>
      </c>
      <c r="B2724" s="11" t="s">
        <v>2</v>
      </c>
      <c r="C2724" s="11" t="s">
        <v>5</v>
      </c>
      <c r="D2724" s="16" t="str">
        <f>HYPERLINK("https://freddywills.com/pick/3425/49ers-2-5.html", "49ers -2.5")</f>
        <v>49ers -2.5</v>
      </c>
      <c r="E2724" s="11">
        <v>5.5</v>
      </c>
      <c r="F2724" s="11">
        <v>-1.1000000000000001</v>
      </c>
      <c r="G2724" s="11" t="s">
        <v>4</v>
      </c>
      <c r="H2724" s="13">
        <v>5000</v>
      </c>
      <c r="I2724" s="14">
        <f t="shared" si="100"/>
        <v>1.7116649000000008</v>
      </c>
      <c r="J2724" s="13">
        <f t="shared" si="101"/>
        <v>205746.90000000002</v>
      </c>
    </row>
    <row r="2725" spans="1:10" x14ac:dyDescent="0.25">
      <c r="A2725" s="10">
        <v>40896</v>
      </c>
      <c r="B2725" s="11" t="s">
        <v>2</v>
      </c>
      <c r="C2725" s="11" t="s">
        <v>10</v>
      </c>
      <c r="D2725" s="16" t="str">
        <f>HYPERLINK("https://freddywills.com/pick/3426/49ers-3-5-u44.html", "49ers +3.5/U44")</f>
        <v>49ers +3.5/U44</v>
      </c>
      <c r="E2725" s="11">
        <v>3.3</v>
      </c>
      <c r="F2725" s="11">
        <v>-1.1000000000000001</v>
      </c>
      <c r="G2725" s="11" t="s">
        <v>4</v>
      </c>
      <c r="H2725" s="13">
        <v>3000</v>
      </c>
      <c r="I2725" s="14">
        <f t="shared" si="100"/>
        <v>1.6616649000000008</v>
      </c>
      <c r="J2725" s="13">
        <f t="shared" si="101"/>
        <v>200746.90000000002</v>
      </c>
    </row>
    <row r="2726" spans="1:10" x14ac:dyDescent="0.25">
      <c r="A2726" s="10">
        <v>40895</v>
      </c>
      <c r="B2726" s="11" t="s">
        <v>2</v>
      </c>
      <c r="C2726" s="11" t="s">
        <v>5</v>
      </c>
      <c r="D2726" s="16" t="str">
        <f>HYPERLINK("https://freddywills.com/pick/3427/lions-1.html", "Lions -1")</f>
        <v>Lions -1</v>
      </c>
      <c r="E2726" s="11">
        <v>5.5</v>
      </c>
      <c r="F2726" s="11">
        <v>-1.1000000000000001</v>
      </c>
      <c r="G2726" s="11" t="s">
        <v>9</v>
      </c>
      <c r="H2726" s="13">
        <v>0</v>
      </c>
      <c r="I2726" s="14">
        <f t="shared" si="100"/>
        <v>1.6316649000000008</v>
      </c>
      <c r="J2726" s="13">
        <f t="shared" si="101"/>
        <v>197746.90000000002</v>
      </c>
    </row>
    <row r="2727" spans="1:10" x14ac:dyDescent="0.25">
      <c r="A2727" s="10">
        <v>40895</v>
      </c>
      <c r="B2727" s="11" t="s">
        <v>2</v>
      </c>
      <c r="C2727" s="11" t="s">
        <v>5</v>
      </c>
      <c r="D2727" s="16" t="str">
        <f>HYPERLINK("https://freddywills.com/pick/3428/redskins-6.html", "Redskins +6")</f>
        <v>Redskins +6</v>
      </c>
      <c r="E2727" s="11">
        <v>3.3</v>
      </c>
      <c r="F2727" s="11">
        <v>-1.1000000000000001</v>
      </c>
      <c r="G2727" s="11" t="s">
        <v>4</v>
      </c>
      <c r="H2727" s="13">
        <v>3000</v>
      </c>
      <c r="I2727" s="14">
        <f t="shared" si="100"/>
        <v>1.6316649000000008</v>
      </c>
      <c r="J2727" s="13">
        <f t="shared" si="101"/>
        <v>197746.90000000002</v>
      </c>
    </row>
    <row r="2728" spans="1:10" x14ac:dyDescent="0.25">
      <c r="A2728" s="10">
        <v>40894</v>
      </c>
      <c r="B2728" s="11" t="s">
        <v>8</v>
      </c>
      <c r="C2728" s="11" t="s">
        <v>5</v>
      </c>
      <c r="D2728" s="16" t="str">
        <f>HYPERLINK("https://freddywills.com/pick/3430/wyoming-7.html", "Wyoming +7")</f>
        <v>Wyoming +7</v>
      </c>
      <c r="E2728" s="11">
        <v>4.4000000000000004</v>
      </c>
      <c r="F2728" s="11">
        <v>-1.1000000000000001</v>
      </c>
      <c r="G2728" s="11" t="s">
        <v>6</v>
      </c>
      <c r="H2728" s="13">
        <v>-4400</v>
      </c>
      <c r="I2728" s="14">
        <f t="shared" si="100"/>
        <v>1.6016649000000007</v>
      </c>
      <c r="J2728" s="13">
        <f t="shared" si="101"/>
        <v>194746.90000000002</v>
      </c>
    </row>
    <row r="2729" spans="1:10" x14ac:dyDescent="0.25">
      <c r="A2729" s="10">
        <v>40894</v>
      </c>
      <c r="B2729" s="11" t="s">
        <v>8</v>
      </c>
      <c r="C2729" s="11" t="s">
        <v>5</v>
      </c>
      <c r="D2729" s="16" t="str">
        <f>HYPERLINK("https://freddywills.com/pick/3431/ohio-1.html", "Ohio +1")</f>
        <v>Ohio +1</v>
      </c>
      <c r="E2729" s="11">
        <v>1.1000000000000001</v>
      </c>
      <c r="F2729" s="11">
        <v>-1.1000000000000001</v>
      </c>
      <c r="G2729" s="11" t="s">
        <v>4</v>
      </c>
      <c r="H2729" s="13">
        <v>1000</v>
      </c>
      <c r="I2729" s="14">
        <f t="shared" si="100"/>
        <v>1.6456649000000008</v>
      </c>
      <c r="J2729" s="13">
        <f t="shared" si="101"/>
        <v>199146.90000000002</v>
      </c>
    </row>
    <row r="2730" spans="1:10" x14ac:dyDescent="0.25">
      <c r="A2730" s="10">
        <v>40894</v>
      </c>
      <c r="B2730" s="11" t="s">
        <v>8</v>
      </c>
      <c r="C2730" s="11" t="s">
        <v>5</v>
      </c>
      <c r="D2730" s="16" t="str">
        <f>HYPERLINK("https://freddywills.com/pick/3432/la-lafayette-4-5.html", "LA Lafayette +4.5")</f>
        <v>LA Lafayette +4.5</v>
      </c>
      <c r="E2730" s="11">
        <v>5.5</v>
      </c>
      <c r="F2730" s="11">
        <v>-1.1000000000000001</v>
      </c>
      <c r="G2730" s="11" t="s">
        <v>4</v>
      </c>
      <c r="H2730" s="13">
        <v>5000</v>
      </c>
      <c r="I2730" s="14">
        <f t="shared" si="100"/>
        <v>1.6356649000000008</v>
      </c>
      <c r="J2730" s="13">
        <f t="shared" si="101"/>
        <v>198146.90000000002</v>
      </c>
    </row>
    <row r="2731" spans="1:10" x14ac:dyDescent="0.25">
      <c r="A2731" s="10">
        <v>40894</v>
      </c>
      <c r="B2731" s="11" t="s">
        <v>2</v>
      </c>
      <c r="C2731" s="11" t="s">
        <v>5</v>
      </c>
      <c r="D2731" s="16" t="str">
        <f>HYPERLINK("https://freddywills.com/pick/3436/tb-7-5.html", "TB +7.5")</f>
        <v>TB +7.5</v>
      </c>
      <c r="E2731" s="11">
        <v>4.4000000000000004</v>
      </c>
      <c r="F2731" s="11">
        <v>-1.1000000000000001</v>
      </c>
      <c r="G2731" s="11" t="s">
        <v>6</v>
      </c>
      <c r="H2731" s="13">
        <v>-4400</v>
      </c>
      <c r="I2731" s="14">
        <f t="shared" si="100"/>
        <v>1.5856649000000007</v>
      </c>
      <c r="J2731" s="13">
        <f t="shared" si="101"/>
        <v>193146.90000000002</v>
      </c>
    </row>
    <row r="2732" spans="1:10" x14ac:dyDescent="0.25">
      <c r="A2732" s="10">
        <v>40892</v>
      </c>
      <c r="B2732" s="11" t="s">
        <v>2</v>
      </c>
      <c r="C2732" s="11" t="s">
        <v>7</v>
      </c>
      <c r="D2732" s="16" t="str">
        <f>HYPERLINK("https://freddywills.com/pick/3438/falcons-jags-u42-5.html", "Falcons/Jags U42.5")</f>
        <v>Falcons/Jags U42.5</v>
      </c>
      <c r="E2732" s="11">
        <v>2.2000000000000002</v>
      </c>
      <c r="F2732" s="11">
        <v>-1.1000000000000001</v>
      </c>
      <c r="G2732" s="11" t="s">
        <v>6</v>
      </c>
      <c r="H2732" s="13">
        <v>-2200</v>
      </c>
      <c r="I2732" s="14">
        <f t="shared" si="100"/>
        <v>1.6296649000000007</v>
      </c>
      <c r="J2732" s="13">
        <f t="shared" si="101"/>
        <v>197546.90000000002</v>
      </c>
    </row>
    <row r="2733" spans="1:10" x14ac:dyDescent="0.25">
      <c r="A2733" s="10">
        <v>40892</v>
      </c>
      <c r="B2733" s="11" t="s">
        <v>2</v>
      </c>
      <c r="C2733" s="11" t="s">
        <v>10</v>
      </c>
      <c r="D2733" s="16" t="str">
        <f>HYPERLINK("https://freddywills.com/pick/3439/falcons-5-5-u48-5.html", "Falcons -5.5/U48.5")</f>
        <v>Falcons -5.5/U48.5</v>
      </c>
      <c r="E2733" s="11">
        <v>4.4000000000000004</v>
      </c>
      <c r="F2733" s="11">
        <v>-1.1000000000000001</v>
      </c>
      <c r="G2733" s="11" t="s">
        <v>6</v>
      </c>
      <c r="H2733" s="13">
        <v>-4400</v>
      </c>
      <c r="I2733" s="14">
        <f t="shared" si="100"/>
        <v>1.6516649000000008</v>
      </c>
      <c r="J2733" s="13">
        <f t="shared" si="101"/>
        <v>199746.90000000002</v>
      </c>
    </row>
    <row r="2734" spans="1:10" x14ac:dyDescent="0.25">
      <c r="A2734" s="10">
        <v>40889</v>
      </c>
      <c r="B2734" s="11" t="s">
        <v>2</v>
      </c>
      <c r="C2734" s="11" t="s">
        <v>5</v>
      </c>
      <c r="D2734" s="16" t="str">
        <f>HYPERLINK("https://freddywills.com/pick/3443/rams-10-5.html", "Rams +10.5")</f>
        <v>Rams +10.5</v>
      </c>
      <c r="E2734" s="11">
        <v>4.4000000000000004</v>
      </c>
      <c r="F2734" s="11">
        <v>-1.1000000000000001</v>
      </c>
      <c r="G2734" s="11" t="s">
        <v>6</v>
      </c>
      <c r="H2734" s="13">
        <v>-4400</v>
      </c>
      <c r="I2734" s="14">
        <f t="shared" si="100"/>
        <v>1.6956649000000008</v>
      </c>
      <c r="J2734" s="13">
        <f t="shared" si="101"/>
        <v>204146.90000000002</v>
      </c>
    </row>
    <row r="2735" spans="1:10" x14ac:dyDescent="0.25">
      <c r="A2735" s="10">
        <v>40888</v>
      </c>
      <c r="B2735" s="11" t="s">
        <v>2</v>
      </c>
      <c r="C2735" s="11" t="s">
        <v>5</v>
      </c>
      <c r="D2735" s="16" t="str">
        <f>HYPERLINK("https://freddywills.com/pick/3444/giants-4-5.html", "Giants +4.5")</f>
        <v>Giants +4.5</v>
      </c>
      <c r="E2735" s="11">
        <v>4.4000000000000004</v>
      </c>
      <c r="F2735" s="11">
        <v>-1.1000000000000001</v>
      </c>
      <c r="G2735" s="11" t="s">
        <v>4</v>
      </c>
      <c r="H2735" s="13">
        <v>4000</v>
      </c>
      <c r="I2735" s="14">
        <f t="shared" si="100"/>
        <v>1.7396649000000008</v>
      </c>
      <c r="J2735" s="13">
        <f t="shared" si="101"/>
        <v>208546.90000000002</v>
      </c>
    </row>
    <row r="2736" spans="1:10" x14ac:dyDescent="0.25">
      <c r="A2736" s="10">
        <v>40888</v>
      </c>
      <c r="B2736" s="11" t="s">
        <v>2</v>
      </c>
      <c r="C2736" s="11" t="s">
        <v>7</v>
      </c>
      <c r="D2736" s="16" t="str">
        <f>HYPERLINK("https://freddywills.com/pick/3445/chi-den-u35-5.html", "CHI/DEN U35.5")</f>
        <v>CHI/DEN U35.5</v>
      </c>
      <c r="E2736" s="11">
        <v>5.5</v>
      </c>
      <c r="F2736" s="11">
        <v>-1.1000000000000001</v>
      </c>
      <c r="G2736" s="11" t="s">
        <v>4</v>
      </c>
      <c r="H2736" s="13">
        <v>5000</v>
      </c>
      <c r="I2736" s="14">
        <f t="shared" si="100"/>
        <v>1.6996649000000008</v>
      </c>
      <c r="J2736" s="13">
        <f t="shared" si="101"/>
        <v>204546.90000000002</v>
      </c>
    </row>
    <row r="2737" spans="1:10" x14ac:dyDescent="0.25">
      <c r="A2737" s="10">
        <v>40888</v>
      </c>
      <c r="B2737" s="11" t="s">
        <v>2</v>
      </c>
      <c r="C2737" s="11" t="s">
        <v>5</v>
      </c>
      <c r="D2737" s="16" t="str">
        <f>HYPERLINK("https://freddywills.com/pick/3447/dolphins-2-5-120.html", "Dolphins -2.5 -120")</f>
        <v>Dolphins -2.5 -120</v>
      </c>
      <c r="E2737" s="11">
        <v>4</v>
      </c>
      <c r="F2737" s="11">
        <v>-1.2</v>
      </c>
      <c r="G2737" s="11" t="s">
        <v>6</v>
      </c>
      <c r="H2737" s="13">
        <v>-4000</v>
      </c>
      <c r="I2737" s="14">
        <f t="shared" si="100"/>
        <v>1.6496649000000008</v>
      </c>
      <c r="J2737" s="13">
        <f t="shared" si="101"/>
        <v>199546.90000000002</v>
      </c>
    </row>
    <row r="2738" spans="1:10" x14ac:dyDescent="0.25">
      <c r="A2738" s="10">
        <v>40888</v>
      </c>
      <c r="B2738" s="11" t="s">
        <v>2</v>
      </c>
      <c r="C2738" s="11" t="s">
        <v>5</v>
      </c>
      <c r="D2738" s="16" t="str">
        <f>HYPERLINK("https://freddywills.com/pick/3448/bengals-2-5.html", "Bengals -2.5")</f>
        <v>Bengals -2.5</v>
      </c>
      <c r="E2738" s="11">
        <v>3.3</v>
      </c>
      <c r="F2738" s="11">
        <v>-1.1000000000000001</v>
      </c>
      <c r="G2738" s="11" t="s">
        <v>6</v>
      </c>
      <c r="H2738" s="13">
        <v>-3300</v>
      </c>
      <c r="I2738" s="14">
        <f t="shared" si="100"/>
        <v>1.6896649000000008</v>
      </c>
      <c r="J2738" s="13">
        <f t="shared" si="101"/>
        <v>203546.90000000002</v>
      </c>
    </row>
    <row r="2739" spans="1:10" x14ac:dyDescent="0.25">
      <c r="A2739" s="10">
        <v>40888</v>
      </c>
      <c r="B2739" s="11" t="s">
        <v>2</v>
      </c>
      <c r="C2739" s="11" t="s">
        <v>5</v>
      </c>
      <c r="D2739" s="16" t="str">
        <f>HYPERLINK("https://freddywills.com/pick/3449/panthers-3.html", "Panthers +3")</f>
        <v>Panthers +3</v>
      </c>
      <c r="E2739" s="11">
        <v>4.5</v>
      </c>
      <c r="F2739" s="11">
        <v>-1.1000000000000001</v>
      </c>
      <c r="G2739" s="11" t="s">
        <v>6</v>
      </c>
      <c r="H2739" s="13">
        <v>-4500</v>
      </c>
      <c r="I2739" s="14">
        <f t="shared" si="100"/>
        <v>1.7226649000000007</v>
      </c>
      <c r="J2739" s="13">
        <f t="shared" si="101"/>
        <v>206846.90000000002</v>
      </c>
    </row>
    <row r="2740" spans="1:10" x14ac:dyDescent="0.25">
      <c r="A2740" s="10">
        <v>40887</v>
      </c>
      <c r="B2740" s="11" t="s">
        <v>8</v>
      </c>
      <c r="C2740" s="11" t="s">
        <v>5</v>
      </c>
      <c r="D2740" s="16" t="str">
        <f>HYPERLINK("https://freddywills.com/pick/3452/army-7-5.html", "Army +7.5")</f>
        <v>Army +7.5</v>
      </c>
      <c r="E2740" s="11">
        <v>4.4000000000000004</v>
      </c>
      <c r="F2740" s="11">
        <v>-1.1000000000000001</v>
      </c>
      <c r="G2740" s="11" t="s">
        <v>4</v>
      </c>
      <c r="H2740" s="13">
        <v>4000</v>
      </c>
      <c r="I2740" s="14">
        <f t="shared" si="100"/>
        <v>1.7676649000000006</v>
      </c>
      <c r="J2740" s="13">
        <f t="shared" si="101"/>
        <v>211346.90000000002</v>
      </c>
    </row>
    <row r="2741" spans="1:10" x14ac:dyDescent="0.25">
      <c r="A2741" s="10">
        <v>40885</v>
      </c>
      <c r="B2741" s="11" t="s">
        <v>2</v>
      </c>
      <c r="C2741" s="11" t="s">
        <v>5</v>
      </c>
      <c r="D2741" s="16" t="str">
        <f>HYPERLINK("https://freddywills.com/pick/3453/browns-14-5.html", "Browns +14.5")</f>
        <v>Browns +14.5</v>
      </c>
      <c r="E2741" s="11">
        <v>4.4000000000000004</v>
      </c>
      <c r="F2741" s="11">
        <v>-1.1000000000000001</v>
      </c>
      <c r="G2741" s="11" t="s">
        <v>4</v>
      </c>
      <c r="H2741" s="13">
        <v>4000</v>
      </c>
      <c r="I2741" s="14">
        <f t="shared" si="100"/>
        <v>1.7276649000000006</v>
      </c>
      <c r="J2741" s="13">
        <f t="shared" si="101"/>
        <v>207346.90000000002</v>
      </c>
    </row>
    <row r="2742" spans="1:10" x14ac:dyDescent="0.25">
      <c r="A2742" s="10">
        <v>40881</v>
      </c>
      <c r="B2742" s="11" t="s">
        <v>2</v>
      </c>
      <c r="C2742" s="11" t="s">
        <v>5</v>
      </c>
      <c r="D2742" s="16" t="str">
        <f>HYPERLINK("https://freddywills.com/pick/3456/browns-7.html", "Browns +7")</f>
        <v>Browns +7</v>
      </c>
      <c r="E2742" s="11">
        <v>5.5</v>
      </c>
      <c r="F2742" s="11">
        <v>-1.1000000000000001</v>
      </c>
      <c r="G2742" s="11" t="s">
        <v>6</v>
      </c>
      <c r="H2742" s="13">
        <v>-5500</v>
      </c>
      <c r="I2742" s="14">
        <f t="shared" si="100"/>
        <v>1.6876649000000006</v>
      </c>
      <c r="J2742" s="13">
        <f t="shared" si="101"/>
        <v>203346.90000000002</v>
      </c>
    </row>
    <row r="2743" spans="1:10" x14ac:dyDescent="0.25">
      <c r="A2743" s="10">
        <v>40881</v>
      </c>
      <c r="B2743" s="11" t="s">
        <v>2</v>
      </c>
      <c r="C2743" s="11" t="s">
        <v>5</v>
      </c>
      <c r="D2743" s="16" t="str">
        <f>HYPERLINK("https://freddywills.com/pick/3457/cardinals-4-5.html", "Cardinals +4.5")</f>
        <v>Cardinals +4.5</v>
      </c>
      <c r="E2743" s="11">
        <v>3.3</v>
      </c>
      <c r="F2743" s="11">
        <v>-1.1000000000000001</v>
      </c>
      <c r="G2743" s="11" t="s">
        <v>4</v>
      </c>
      <c r="H2743" s="13">
        <v>3000</v>
      </c>
      <c r="I2743" s="14">
        <f t="shared" si="100"/>
        <v>1.7426649000000005</v>
      </c>
      <c r="J2743" s="13">
        <f t="shared" si="101"/>
        <v>208846.90000000002</v>
      </c>
    </row>
    <row r="2744" spans="1:10" x14ac:dyDescent="0.25">
      <c r="A2744" s="10">
        <v>40881</v>
      </c>
      <c r="B2744" s="11" t="s">
        <v>2</v>
      </c>
      <c r="C2744" s="11" t="s">
        <v>5</v>
      </c>
      <c r="D2744" s="16" t="str">
        <f>HYPERLINK("https://freddywills.com/pick/3458/panthers-3.html", "Panthers +3")</f>
        <v>Panthers +3</v>
      </c>
      <c r="E2744" s="11">
        <v>4.4000000000000004</v>
      </c>
      <c r="F2744" s="11">
        <v>-1.1000000000000001</v>
      </c>
      <c r="G2744" s="11" t="s">
        <v>4</v>
      </c>
      <c r="H2744" s="13">
        <v>4000</v>
      </c>
      <c r="I2744" s="14">
        <f t="shared" si="100"/>
        <v>1.7126649000000005</v>
      </c>
      <c r="J2744" s="13">
        <f t="shared" si="101"/>
        <v>205846.90000000002</v>
      </c>
    </row>
    <row r="2745" spans="1:10" x14ac:dyDescent="0.25">
      <c r="A2745" s="10">
        <v>40880</v>
      </c>
      <c r="B2745" s="11" t="s">
        <v>8</v>
      </c>
      <c r="C2745" s="11" t="s">
        <v>5</v>
      </c>
      <c r="D2745" s="16" t="str">
        <f>HYPERLINK("https://freddywills.com/pick/3460/ct-9.html", "CT +9")</f>
        <v>CT +9</v>
      </c>
      <c r="E2745" s="11">
        <v>5.5</v>
      </c>
      <c r="F2745" s="11">
        <v>-1.1000000000000001</v>
      </c>
      <c r="G2745" s="11" t="s">
        <v>4</v>
      </c>
      <c r="H2745" s="13">
        <v>5000</v>
      </c>
      <c r="I2745" s="14">
        <f t="shared" si="100"/>
        <v>1.6726649000000005</v>
      </c>
      <c r="J2745" s="13">
        <f t="shared" si="101"/>
        <v>201846.90000000002</v>
      </c>
    </row>
    <row r="2746" spans="1:10" x14ac:dyDescent="0.25">
      <c r="A2746" s="10">
        <v>40880</v>
      </c>
      <c r="B2746" s="11" t="s">
        <v>8</v>
      </c>
      <c r="C2746" s="11" t="s">
        <v>18</v>
      </c>
      <c r="D2746" s="16" t="str">
        <f>HYPERLINK("https://freddywills.com/pick/3461/ct-300.html", "CT +300")</f>
        <v>CT +300</v>
      </c>
      <c r="E2746" s="11">
        <v>1</v>
      </c>
      <c r="F2746" s="11">
        <v>3</v>
      </c>
      <c r="G2746" s="11" t="s">
        <v>6</v>
      </c>
      <c r="H2746" s="13">
        <v>-1000</v>
      </c>
      <c r="I2746" s="14">
        <f t="shared" si="100"/>
        <v>1.6226649000000004</v>
      </c>
      <c r="J2746" s="13">
        <f t="shared" si="101"/>
        <v>196846.90000000002</v>
      </c>
    </row>
    <row r="2747" spans="1:10" x14ac:dyDescent="0.25">
      <c r="A2747" s="10">
        <v>40880</v>
      </c>
      <c r="B2747" s="11" t="s">
        <v>8</v>
      </c>
      <c r="C2747" s="11" t="s">
        <v>5</v>
      </c>
      <c r="D2747" s="16" t="str">
        <f>HYPERLINK("https://freddywills.com/pick/3462/smiss-14.html", "Smiss +14")</f>
        <v>Smiss +14</v>
      </c>
      <c r="E2747" s="11">
        <v>4.4000000000000004</v>
      </c>
      <c r="F2747" s="11">
        <v>-1.1000000000000001</v>
      </c>
      <c r="G2747" s="11" t="s">
        <v>4</v>
      </c>
      <c r="H2747" s="13">
        <v>4000</v>
      </c>
      <c r="I2747" s="14">
        <f t="shared" si="100"/>
        <v>1.6326649000000004</v>
      </c>
      <c r="J2747" s="13">
        <f t="shared" si="101"/>
        <v>197846.90000000002</v>
      </c>
    </row>
    <row r="2748" spans="1:10" x14ac:dyDescent="0.25">
      <c r="A2748" s="10">
        <v>40880</v>
      </c>
      <c r="B2748" s="11" t="s">
        <v>8</v>
      </c>
      <c r="C2748" s="11" t="s">
        <v>18</v>
      </c>
      <c r="D2748" s="16" t="str">
        <f>HYPERLINK("https://freddywills.com/pick/3463/smiss-450.html", "Smiss +450")</f>
        <v>Smiss +450</v>
      </c>
      <c r="E2748" s="11">
        <v>1</v>
      </c>
      <c r="F2748" s="11">
        <v>4.5</v>
      </c>
      <c r="G2748" s="11" t="s">
        <v>4</v>
      </c>
      <c r="H2748" s="13">
        <v>4500</v>
      </c>
      <c r="I2748" s="14">
        <f t="shared" si="100"/>
        <v>1.5926649000000004</v>
      </c>
      <c r="J2748" s="13">
        <f t="shared" si="101"/>
        <v>193846.90000000002</v>
      </c>
    </row>
    <row r="2749" spans="1:10" x14ac:dyDescent="0.25">
      <c r="A2749" s="10">
        <v>40880</v>
      </c>
      <c r="B2749" s="11" t="s">
        <v>8</v>
      </c>
      <c r="C2749" s="11" t="s">
        <v>5</v>
      </c>
      <c r="D2749" s="16" t="str">
        <f>HYPERLINK("https://freddywills.com/pick/3466/texas-3.html", "TExas +3")</f>
        <v>TExas +3</v>
      </c>
      <c r="E2749" s="11">
        <v>4</v>
      </c>
      <c r="F2749" s="11">
        <v>-1.1000000000000001</v>
      </c>
      <c r="G2749" s="11" t="s">
        <v>6</v>
      </c>
      <c r="H2749" s="13">
        <v>-4000</v>
      </c>
      <c r="I2749" s="14">
        <f t="shared" si="100"/>
        <v>1.5476649000000005</v>
      </c>
      <c r="J2749" s="13">
        <f t="shared" si="101"/>
        <v>189346.90000000002</v>
      </c>
    </row>
    <row r="2750" spans="1:10" x14ac:dyDescent="0.25">
      <c r="A2750" s="10">
        <v>40880</v>
      </c>
      <c r="B2750" s="11" t="s">
        <v>8</v>
      </c>
      <c r="C2750" s="11" t="s">
        <v>5</v>
      </c>
      <c r="D2750" s="16" t="str">
        <f>HYPERLINK("https://freddywills.com/pick/3467/lsu-13-5.html", "LSU -13.5")</f>
        <v>LSU -13.5</v>
      </c>
      <c r="E2750" s="11">
        <v>2.2000000000000002</v>
      </c>
      <c r="F2750" s="11">
        <v>-1.1000000000000001</v>
      </c>
      <c r="G2750" s="11" t="s">
        <v>4</v>
      </c>
      <c r="H2750" s="13">
        <v>2000</v>
      </c>
      <c r="I2750" s="14">
        <f t="shared" si="100"/>
        <v>1.5876649000000005</v>
      </c>
      <c r="J2750" s="13">
        <f t="shared" si="101"/>
        <v>193346.90000000002</v>
      </c>
    </row>
    <row r="2751" spans="1:10" x14ac:dyDescent="0.25">
      <c r="A2751" s="10">
        <v>40880</v>
      </c>
      <c r="B2751" s="11" t="s">
        <v>8</v>
      </c>
      <c r="C2751" s="11" t="s">
        <v>5</v>
      </c>
      <c r="D2751" s="16" t="str">
        <f>HYPERLINK("https://freddywills.com/pick/3468/oklahoma-3-5.html", "Oklahoma +3.5")</f>
        <v>Oklahoma +3.5</v>
      </c>
      <c r="E2751" s="11">
        <v>2.2000000000000002</v>
      </c>
      <c r="F2751" s="11">
        <v>-1.1000000000000001</v>
      </c>
      <c r="G2751" s="11" t="s">
        <v>6</v>
      </c>
      <c r="H2751" s="13">
        <v>-2200</v>
      </c>
      <c r="I2751" s="14">
        <f t="shared" si="100"/>
        <v>1.5676649000000005</v>
      </c>
      <c r="J2751" s="13">
        <f t="shared" si="101"/>
        <v>191346.90000000002</v>
      </c>
    </row>
    <row r="2752" spans="1:10" x14ac:dyDescent="0.25">
      <c r="A2752" s="10">
        <v>40880</v>
      </c>
      <c r="B2752" s="11" t="s">
        <v>8</v>
      </c>
      <c r="C2752" s="11" t="s">
        <v>5</v>
      </c>
      <c r="D2752" s="16" t="str">
        <f>HYPERLINK("https://freddywills.com/pick/3469/mich-st-10.html", "Mich St +10")</f>
        <v>Mich St +10</v>
      </c>
      <c r="E2752" s="11">
        <v>3.3</v>
      </c>
      <c r="F2752" s="11">
        <v>-1.1000000000000001</v>
      </c>
      <c r="G2752" s="11" t="s">
        <v>4</v>
      </c>
      <c r="H2752" s="13">
        <v>3000</v>
      </c>
      <c r="I2752" s="14">
        <f t="shared" si="100"/>
        <v>1.5896649000000005</v>
      </c>
      <c r="J2752" s="13">
        <f t="shared" si="101"/>
        <v>193546.90000000002</v>
      </c>
    </row>
    <row r="2753" spans="1:10" x14ac:dyDescent="0.25">
      <c r="A2753" s="10">
        <v>40880</v>
      </c>
      <c r="B2753" s="11" t="s">
        <v>8</v>
      </c>
      <c r="C2753" s="11" t="s">
        <v>5</v>
      </c>
      <c r="D2753" s="16" t="str">
        <f>HYPERLINK("https://freddywills.com/pick/3470/fresno-8.html", "Fresno +8")</f>
        <v>Fresno +8</v>
      </c>
      <c r="E2753" s="11">
        <v>4.4000000000000004</v>
      </c>
      <c r="F2753" s="11">
        <v>-1.1000000000000001</v>
      </c>
      <c r="G2753" s="11" t="s">
        <v>4</v>
      </c>
      <c r="H2753" s="13">
        <v>4000</v>
      </c>
      <c r="I2753" s="14">
        <f t="shared" si="100"/>
        <v>1.5596649000000005</v>
      </c>
      <c r="J2753" s="13">
        <f t="shared" si="101"/>
        <v>190546.90000000002</v>
      </c>
    </row>
    <row r="2754" spans="1:10" x14ac:dyDescent="0.25">
      <c r="A2754" s="10">
        <v>40879</v>
      </c>
      <c r="B2754" s="11" t="s">
        <v>8</v>
      </c>
      <c r="C2754" s="11" t="s">
        <v>5</v>
      </c>
      <c r="D2754" s="16" t="str">
        <f>HYPERLINK("https://freddywills.com/pick/3472/ohio-3-5.html", "Ohio +3.5")</f>
        <v>Ohio +3.5</v>
      </c>
      <c r="E2754" s="11">
        <v>4.4000000000000004</v>
      </c>
      <c r="F2754" s="11">
        <v>-1.1000000000000001</v>
      </c>
      <c r="G2754" s="11" t="s">
        <v>4</v>
      </c>
      <c r="H2754" s="13">
        <v>4000</v>
      </c>
      <c r="I2754" s="14">
        <f t="shared" si="100"/>
        <v>1.5196649000000004</v>
      </c>
      <c r="J2754" s="13">
        <f t="shared" si="101"/>
        <v>186546.90000000002</v>
      </c>
    </row>
    <row r="2755" spans="1:10" x14ac:dyDescent="0.25">
      <c r="A2755" s="10">
        <v>40878</v>
      </c>
      <c r="B2755" s="11" t="s">
        <v>8</v>
      </c>
      <c r="C2755" s="11" t="s">
        <v>5</v>
      </c>
      <c r="D2755" s="16" t="str">
        <f>HYPERLINK("https://freddywills.com/pick/3474/south-florida-2.html", "South Florida +2")</f>
        <v>South Florida +2</v>
      </c>
      <c r="E2755" s="11">
        <v>4.2</v>
      </c>
      <c r="F2755" s="11">
        <v>-1.1000000000000001</v>
      </c>
      <c r="G2755" s="11" t="s">
        <v>6</v>
      </c>
      <c r="H2755" s="13">
        <v>-4200</v>
      </c>
      <c r="I2755" s="14">
        <f t="shared" si="100"/>
        <v>1.4796649000000004</v>
      </c>
      <c r="J2755" s="13">
        <f t="shared" si="101"/>
        <v>182546.90000000002</v>
      </c>
    </row>
    <row r="2756" spans="1:10" x14ac:dyDescent="0.25">
      <c r="A2756" s="10">
        <v>40878</v>
      </c>
      <c r="B2756" s="11" t="s">
        <v>2</v>
      </c>
      <c r="C2756" s="11" t="s">
        <v>5</v>
      </c>
      <c r="D2756" s="16" t="str">
        <f>HYPERLINK("https://freddywills.com/pick/3475/eagles-2-5.html", "Eagles -2.5")</f>
        <v>Eagles -2.5</v>
      </c>
      <c r="E2756" s="11">
        <v>4</v>
      </c>
      <c r="F2756" s="11">
        <v>-1.1000000000000001</v>
      </c>
      <c r="G2756" s="11" t="s">
        <v>6</v>
      </c>
      <c r="H2756" s="13">
        <v>-4000</v>
      </c>
      <c r="I2756" s="14">
        <f t="shared" si="100"/>
        <v>1.5216649000000004</v>
      </c>
      <c r="J2756" s="13">
        <f t="shared" si="101"/>
        <v>186746.90000000002</v>
      </c>
    </row>
    <row r="2757" spans="1:10" x14ac:dyDescent="0.25">
      <c r="A2757" s="10">
        <v>40875</v>
      </c>
      <c r="B2757" s="11" t="s">
        <v>2</v>
      </c>
      <c r="C2757" s="11" t="s">
        <v>7</v>
      </c>
      <c r="D2757" s="16" t="str">
        <f>HYPERLINK("https://freddywills.com/pick/3480/nyg-no-o50-5.html", "NYG/NO O50.5")</f>
        <v>NYG/NO O50.5</v>
      </c>
      <c r="E2757" s="11">
        <v>4.4000000000000004</v>
      </c>
      <c r="F2757" s="11">
        <v>-1.1000000000000001</v>
      </c>
      <c r="G2757" s="11" t="s">
        <v>4</v>
      </c>
      <c r="H2757" s="13">
        <v>4000</v>
      </c>
      <c r="I2757" s="14">
        <f t="shared" si="100"/>
        <v>1.5616649000000005</v>
      </c>
      <c r="J2757" s="13">
        <f t="shared" si="101"/>
        <v>190746.90000000002</v>
      </c>
    </row>
    <row r="2758" spans="1:10" x14ac:dyDescent="0.25">
      <c r="A2758" s="10">
        <v>40874</v>
      </c>
      <c r="B2758" s="11" t="s">
        <v>2</v>
      </c>
      <c r="C2758" s="11" t="s">
        <v>5</v>
      </c>
      <c r="D2758" s="16" t="str">
        <f>HYPERLINK("https://freddywills.com/pick/3481/raiders-2-5-120.html", "Raiders -2.5 -120")</f>
        <v>Raiders -2.5 -120</v>
      </c>
      <c r="E2758" s="11">
        <v>3.6</v>
      </c>
      <c r="F2758" s="11">
        <v>-1.2</v>
      </c>
      <c r="G2758" s="11" t="s">
        <v>4</v>
      </c>
      <c r="H2758" s="13">
        <v>3000</v>
      </c>
      <c r="I2758" s="14">
        <f t="shared" si="100"/>
        <v>1.5216649000000004</v>
      </c>
      <c r="J2758" s="13">
        <f t="shared" si="101"/>
        <v>186746.90000000002</v>
      </c>
    </row>
    <row r="2759" spans="1:10" x14ac:dyDescent="0.25">
      <c r="A2759" s="10">
        <v>40874</v>
      </c>
      <c r="B2759" s="11" t="s">
        <v>2</v>
      </c>
      <c r="C2759" s="11" t="s">
        <v>5</v>
      </c>
      <c r="D2759" s="16" t="str">
        <f>HYPERLINK("https://freddywills.com/pick/3482/rams-2.html", "Rams -2")</f>
        <v>Rams -2</v>
      </c>
      <c r="E2759" s="11">
        <v>5.5</v>
      </c>
      <c r="F2759" s="11">
        <v>-1.1000000000000001</v>
      </c>
      <c r="G2759" s="11" t="s">
        <v>6</v>
      </c>
      <c r="H2759" s="13">
        <v>-5500</v>
      </c>
      <c r="I2759" s="14">
        <f t="shared" si="100"/>
        <v>1.4916649000000004</v>
      </c>
      <c r="J2759" s="13">
        <f t="shared" si="101"/>
        <v>183746.90000000002</v>
      </c>
    </row>
    <row r="2760" spans="1:10" x14ac:dyDescent="0.25">
      <c r="A2760" s="10">
        <v>40874</v>
      </c>
      <c r="B2760" s="11" t="s">
        <v>2</v>
      </c>
      <c r="C2760" s="11" t="s">
        <v>5</v>
      </c>
      <c r="D2760" s="16" t="str">
        <f>HYPERLINK("https://freddywills.com/pick/3483/browns-7-5-120.html", "Browns +7.5 -120")</f>
        <v>Browns +7.5 -120</v>
      </c>
      <c r="E2760" s="11">
        <v>4.5</v>
      </c>
      <c r="F2760" s="11">
        <v>-1.2</v>
      </c>
      <c r="G2760" s="11" t="s">
        <v>4</v>
      </c>
      <c r="H2760" s="13">
        <v>3750</v>
      </c>
      <c r="I2760" s="14">
        <f t="shared" si="100"/>
        <v>1.5466649000000003</v>
      </c>
      <c r="J2760" s="13">
        <f t="shared" si="101"/>
        <v>189246.90000000002</v>
      </c>
    </row>
    <row r="2761" spans="1:10" x14ac:dyDescent="0.25">
      <c r="A2761" s="10">
        <v>40873</v>
      </c>
      <c r="B2761" s="11" t="s">
        <v>8</v>
      </c>
      <c r="C2761" s="11" t="s">
        <v>18</v>
      </c>
      <c r="D2761" s="16" t="str">
        <f>HYPERLINK("https://freddywills.com/pick/3484/ohio-state-250.html", "Ohio State +250")</f>
        <v>Ohio State +250</v>
      </c>
      <c r="E2761" s="11">
        <v>1.5</v>
      </c>
      <c r="F2761" s="11">
        <v>2.5</v>
      </c>
      <c r="G2761" s="11" t="s">
        <v>6</v>
      </c>
      <c r="H2761" s="13">
        <v>-1500</v>
      </c>
      <c r="I2761" s="14">
        <f t="shared" si="100"/>
        <v>1.5091649000000003</v>
      </c>
      <c r="J2761" s="13">
        <f t="shared" si="101"/>
        <v>185496.90000000002</v>
      </c>
    </row>
    <row r="2762" spans="1:10" x14ac:dyDescent="0.25">
      <c r="A2762" s="10">
        <v>40873</v>
      </c>
      <c r="B2762" s="11" t="s">
        <v>8</v>
      </c>
      <c r="C2762" s="11" t="s">
        <v>5</v>
      </c>
      <c r="D2762" s="16" t="str">
        <f>HYPERLINK("https://freddywills.com/pick/3485/ohio-state-7-5.html", "Ohio State +7.5")</f>
        <v>Ohio State +7.5</v>
      </c>
      <c r="E2762" s="11">
        <v>4.4000000000000004</v>
      </c>
      <c r="F2762" s="11">
        <v>-1.1000000000000001</v>
      </c>
      <c r="G2762" s="11" t="s">
        <v>4</v>
      </c>
      <c r="H2762" s="13">
        <v>4000</v>
      </c>
      <c r="I2762" s="14">
        <f t="shared" si="100"/>
        <v>1.5241649000000002</v>
      </c>
      <c r="J2762" s="13">
        <f t="shared" si="101"/>
        <v>186996.90000000002</v>
      </c>
    </row>
    <row r="2763" spans="1:10" x14ac:dyDescent="0.25">
      <c r="A2763" s="10">
        <v>40873</v>
      </c>
      <c r="B2763" s="11" t="s">
        <v>8</v>
      </c>
      <c r="C2763" s="11" t="s">
        <v>5</v>
      </c>
      <c r="D2763" s="16" t="str">
        <f>HYPERLINK("https://freddywills.com/pick/3486/uconn-3-5-120.html", "Uconn +3.5 -120")</f>
        <v>Uconn +3.5 -120</v>
      </c>
      <c r="E2763" s="11">
        <v>3.5</v>
      </c>
      <c r="F2763" s="11">
        <v>-1.2</v>
      </c>
      <c r="G2763" s="11" t="s">
        <v>4</v>
      </c>
      <c r="H2763" s="13">
        <v>2916.67</v>
      </c>
      <c r="I2763" s="14">
        <f t="shared" si="100"/>
        <v>1.4841649000000001</v>
      </c>
      <c r="J2763" s="13">
        <f t="shared" si="101"/>
        <v>182996.90000000002</v>
      </c>
    </row>
    <row r="2764" spans="1:10" x14ac:dyDescent="0.25">
      <c r="A2764" s="10">
        <v>40873</v>
      </c>
      <c r="B2764" s="11" t="s">
        <v>8</v>
      </c>
      <c r="C2764" s="11" t="s">
        <v>5</v>
      </c>
      <c r="D2764" s="16" t="str">
        <f>HYPERLINK("https://freddywills.com/pick/3487/syracuse-2.html", "Syracuse +2")</f>
        <v>Syracuse +2</v>
      </c>
      <c r="E2764" s="11">
        <v>3.3</v>
      </c>
      <c r="F2764" s="11">
        <v>-1.1000000000000001</v>
      </c>
      <c r="G2764" s="11" t="s">
        <v>6</v>
      </c>
      <c r="H2764" s="13">
        <v>-3300</v>
      </c>
      <c r="I2764" s="14">
        <f t="shared" si="100"/>
        <v>1.4549982000000001</v>
      </c>
      <c r="J2764" s="13">
        <f t="shared" si="101"/>
        <v>180080.23</v>
      </c>
    </row>
    <row r="2765" spans="1:10" x14ac:dyDescent="0.25">
      <c r="A2765" s="10">
        <v>40873</v>
      </c>
      <c r="B2765" s="11" t="s">
        <v>8</v>
      </c>
      <c r="C2765" s="11" t="s">
        <v>5</v>
      </c>
      <c r="D2765" s="16" t="str">
        <f>HYPERLINK("https://freddywills.com/pick/3488/marshall-2-5.html", "Marshall -2.5")</f>
        <v>Marshall -2.5</v>
      </c>
      <c r="E2765" s="11">
        <v>5.5</v>
      </c>
      <c r="F2765" s="11">
        <v>-1.1000000000000001</v>
      </c>
      <c r="G2765" s="11" t="s">
        <v>4</v>
      </c>
      <c r="H2765" s="13">
        <v>5000</v>
      </c>
      <c r="I2765" s="14">
        <f t="shared" si="100"/>
        <v>1.4879982</v>
      </c>
      <c r="J2765" s="13">
        <f t="shared" si="101"/>
        <v>183380.23</v>
      </c>
    </row>
    <row r="2766" spans="1:10" x14ac:dyDescent="0.25">
      <c r="A2766" s="10">
        <v>40873</v>
      </c>
      <c r="B2766" s="11" t="s">
        <v>8</v>
      </c>
      <c r="C2766" s="11" t="s">
        <v>5</v>
      </c>
      <c r="D2766" s="16" t="str">
        <f>HYPERLINK("https://freddywills.com/pick/3489/fau-5.html", "FAU +5")</f>
        <v>FAU +5</v>
      </c>
      <c r="E2766" s="11">
        <v>3</v>
      </c>
      <c r="F2766" s="11">
        <v>-1.1000000000000001</v>
      </c>
      <c r="G2766" s="11" t="s">
        <v>4</v>
      </c>
      <c r="H2766" s="13">
        <v>2727.27</v>
      </c>
      <c r="I2766" s="14">
        <f t="shared" si="100"/>
        <v>1.4379982</v>
      </c>
      <c r="J2766" s="13">
        <f t="shared" si="101"/>
        <v>178380.23</v>
      </c>
    </row>
    <row r="2767" spans="1:10" x14ac:dyDescent="0.25">
      <c r="A2767" s="10">
        <v>40873</v>
      </c>
      <c r="B2767" s="11" t="s">
        <v>8</v>
      </c>
      <c r="C2767" s="11" t="s">
        <v>5</v>
      </c>
      <c r="D2767" s="16" t="str">
        <f>HYPERLINK("https://freddywills.com/pick/3490/notre-dame-7-5.html", "Notre Dame +7.5")</f>
        <v>Notre Dame +7.5</v>
      </c>
      <c r="E2767" s="11">
        <v>4</v>
      </c>
      <c r="F2767" s="11">
        <v>-1.1000000000000001</v>
      </c>
      <c r="G2767" s="11" t="s">
        <v>6</v>
      </c>
      <c r="H2767" s="13">
        <v>-4000</v>
      </c>
      <c r="I2767" s="14">
        <f t="shared" si="100"/>
        <v>1.4107255000000001</v>
      </c>
      <c r="J2767" s="13">
        <f t="shared" si="101"/>
        <v>175652.96000000002</v>
      </c>
    </row>
    <row r="2768" spans="1:10" x14ac:dyDescent="0.25">
      <c r="A2768" s="10">
        <v>40872</v>
      </c>
      <c r="B2768" s="11" t="s">
        <v>8</v>
      </c>
      <c r="C2768" s="11" t="s">
        <v>5</v>
      </c>
      <c r="D2768" s="16" t="str">
        <f>HYPERLINK("https://freddywills.com/pick/3491/louisville-3-5.html", "Louisville +3.5")</f>
        <v>Louisville +3.5</v>
      </c>
      <c r="E2768" s="11">
        <v>3.3</v>
      </c>
      <c r="F2768" s="11">
        <v>-1.1000000000000001</v>
      </c>
      <c r="G2768" s="11" t="s">
        <v>4</v>
      </c>
      <c r="H2768" s="13">
        <v>3000</v>
      </c>
      <c r="I2768" s="14">
        <f t="shared" si="100"/>
        <v>1.4507255000000001</v>
      </c>
      <c r="J2768" s="13">
        <f t="shared" si="101"/>
        <v>179652.96000000002</v>
      </c>
    </row>
    <row r="2769" spans="1:10" x14ac:dyDescent="0.25">
      <c r="A2769" s="10">
        <v>40872</v>
      </c>
      <c r="B2769" s="11" t="s">
        <v>8</v>
      </c>
      <c r="C2769" s="11" t="s">
        <v>5</v>
      </c>
      <c r="D2769" s="16" t="str">
        <f>HYPERLINK("https://freddywills.com/pick/3492/kent-st-17.html", "Kent St +17")</f>
        <v>Kent St +17</v>
      </c>
      <c r="E2769" s="11">
        <v>2.2000000000000002</v>
      </c>
      <c r="F2769" s="11">
        <v>-1.1000000000000001</v>
      </c>
      <c r="G2769" s="11" t="s">
        <v>6</v>
      </c>
      <c r="H2769" s="13">
        <v>-2200</v>
      </c>
      <c r="I2769" s="14">
        <f t="shared" si="100"/>
        <v>1.4207255000000001</v>
      </c>
      <c r="J2769" s="13">
        <f t="shared" si="101"/>
        <v>176652.96000000002</v>
      </c>
    </row>
    <row r="2770" spans="1:10" x14ac:dyDescent="0.25">
      <c r="A2770" s="10">
        <v>40872</v>
      </c>
      <c r="B2770" s="11" t="s">
        <v>8</v>
      </c>
      <c r="C2770" s="11" t="s">
        <v>5</v>
      </c>
      <c r="D2770" s="16" t="str">
        <f>HYPERLINK("https://freddywills.com/pick/3493/tulsa-3.html", "Tulsa +3")</f>
        <v>Tulsa +3</v>
      </c>
      <c r="E2770" s="11">
        <v>5.5</v>
      </c>
      <c r="F2770" s="11">
        <v>-1.1000000000000001</v>
      </c>
      <c r="G2770" s="11" t="s">
        <v>6</v>
      </c>
      <c r="H2770" s="13">
        <v>-5500</v>
      </c>
      <c r="I2770" s="14">
        <f t="shared" si="100"/>
        <v>1.4427255000000001</v>
      </c>
      <c r="J2770" s="13">
        <f t="shared" si="101"/>
        <v>178852.96000000002</v>
      </c>
    </row>
    <row r="2771" spans="1:10" x14ac:dyDescent="0.25">
      <c r="A2771" s="10">
        <v>40871</v>
      </c>
      <c r="B2771" s="11" t="s">
        <v>2</v>
      </c>
      <c r="C2771" s="11" t="s">
        <v>5</v>
      </c>
      <c r="D2771" s="16" t="str">
        <f>HYPERLINK("https://freddywills.com/pick/3495/ravens-3.html", "Ravens -3")</f>
        <v>Ravens -3</v>
      </c>
      <c r="E2771" s="11">
        <v>5.5</v>
      </c>
      <c r="F2771" s="11">
        <v>-1.1000000000000001</v>
      </c>
      <c r="G2771" s="11" t="s">
        <v>4</v>
      </c>
      <c r="H2771" s="13">
        <v>5000</v>
      </c>
      <c r="I2771" s="14">
        <f t="shared" si="100"/>
        <v>1.4977255</v>
      </c>
      <c r="J2771" s="13">
        <f t="shared" si="101"/>
        <v>184352.96000000002</v>
      </c>
    </row>
    <row r="2772" spans="1:10" x14ac:dyDescent="0.25">
      <c r="A2772" s="10">
        <v>40871</v>
      </c>
      <c r="B2772" s="11" t="s">
        <v>2</v>
      </c>
      <c r="C2772" s="11" t="s">
        <v>5</v>
      </c>
      <c r="D2772" s="16" t="str">
        <f>HYPERLINK("https://freddywills.com/pick/3496/lions-7-115.html", "Lions +7 -115")</f>
        <v>Lions +7 -115</v>
      </c>
      <c r="E2772" s="11">
        <v>4.4000000000000004</v>
      </c>
      <c r="F2772" s="11">
        <v>-1.1499999999999999</v>
      </c>
      <c r="G2772" s="11" t="s">
        <v>6</v>
      </c>
      <c r="H2772" s="13">
        <v>-4400</v>
      </c>
      <c r="I2772" s="14">
        <f t="shared" si="100"/>
        <v>1.4477255</v>
      </c>
      <c r="J2772" s="13">
        <f t="shared" si="101"/>
        <v>179352.96000000002</v>
      </c>
    </row>
    <row r="2773" spans="1:10" x14ac:dyDescent="0.25">
      <c r="A2773" s="10">
        <v>40871</v>
      </c>
      <c r="B2773" s="11" t="s">
        <v>2</v>
      </c>
      <c r="C2773" s="11" t="s">
        <v>18</v>
      </c>
      <c r="D2773" s="16" t="str">
        <f>HYPERLINK("https://freddywills.com/pick/3497/lions-255.html", "Lions +255")</f>
        <v>Lions +255</v>
      </c>
      <c r="E2773" s="11">
        <v>1</v>
      </c>
      <c r="F2773" s="11">
        <v>2.5499999999999998</v>
      </c>
      <c r="G2773" s="11" t="s">
        <v>6</v>
      </c>
      <c r="H2773" s="13">
        <v>-1000</v>
      </c>
      <c r="I2773" s="14">
        <f t="shared" si="100"/>
        <v>1.4917255</v>
      </c>
      <c r="J2773" s="13">
        <f t="shared" si="101"/>
        <v>183752.96000000002</v>
      </c>
    </row>
    <row r="2774" spans="1:10" x14ac:dyDescent="0.25">
      <c r="A2774" s="10">
        <v>40871</v>
      </c>
      <c r="B2774" s="11" t="s">
        <v>2</v>
      </c>
      <c r="C2774" s="11" t="s">
        <v>5</v>
      </c>
      <c r="D2774" s="16" t="str">
        <f>HYPERLINK("https://freddywills.com/pick/3498/dolphins-7-5-120.html", "Dolphins +7.5 -120")</f>
        <v>Dolphins +7.5 -120</v>
      </c>
      <c r="E2774" s="11">
        <v>4</v>
      </c>
      <c r="F2774" s="11">
        <v>-1.2</v>
      </c>
      <c r="G2774" s="11" t="s">
        <v>4</v>
      </c>
      <c r="H2774" s="13">
        <v>3333.33</v>
      </c>
      <c r="I2774" s="14">
        <f t="shared" si="100"/>
        <v>1.5017255</v>
      </c>
      <c r="J2774" s="13">
        <f t="shared" si="101"/>
        <v>184752.96000000002</v>
      </c>
    </row>
    <row r="2775" spans="1:10" x14ac:dyDescent="0.25">
      <c r="A2775" s="10">
        <v>40871</v>
      </c>
      <c r="B2775" s="11" t="s">
        <v>8</v>
      </c>
      <c r="C2775" s="11" t="s">
        <v>7</v>
      </c>
      <c r="D2775" s="16" t="str">
        <f>HYPERLINK("https://freddywills.com/pick/3499/tx-txam-u53-5.html", "TX/TXAM U53.5")</f>
        <v>TX/TXAM U53.5</v>
      </c>
      <c r="E2775" s="11">
        <v>5.5</v>
      </c>
      <c r="F2775" s="11">
        <v>-1.1000000000000001</v>
      </c>
      <c r="G2775" s="11" t="s">
        <v>4</v>
      </c>
      <c r="H2775" s="13">
        <v>5000</v>
      </c>
      <c r="I2775" s="14">
        <f t="shared" si="100"/>
        <v>1.4683922</v>
      </c>
      <c r="J2775" s="13">
        <f t="shared" si="101"/>
        <v>181419.63000000003</v>
      </c>
    </row>
    <row r="2776" spans="1:10" x14ac:dyDescent="0.25">
      <c r="A2776" s="10">
        <v>40871</v>
      </c>
      <c r="B2776" s="11" t="s">
        <v>8</v>
      </c>
      <c r="C2776" s="11" t="s">
        <v>5</v>
      </c>
      <c r="D2776" s="16" t="str">
        <f>HYPERLINK("https://freddywills.com/pick/3500/tx-8-5.html", "TX +8.5")</f>
        <v>TX +8.5</v>
      </c>
      <c r="E2776" s="11">
        <v>3.3</v>
      </c>
      <c r="F2776" s="11">
        <v>-1.1000000000000001</v>
      </c>
      <c r="G2776" s="11" t="s">
        <v>4</v>
      </c>
      <c r="H2776" s="13">
        <v>3000</v>
      </c>
      <c r="I2776" s="14">
        <f t="shared" ref="I2776:I2839" si="102">(H2776/100000)+I2777</f>
        <v>1.4183922</v>
      </c>
      <c r="J2776" s="13">
        <f t="shared" ref="J2776:J2839" si="103">H2776+J2777</f>
        <v>176419.63000000003</v>
      </c>
    </row>
    <row r="2777" spans="1:10" x14ac:dyDescent="0.25">
      <c r="A2777" s="10">
        <v>40869</v>
      </c>
      <c r="B2777" s="11" t="s">
        <v>8</v>
      </c>
      <c r="C2777" s="11" t="s">
        <v>5</v>
      </c>
      <c r="D2777" s="16" t="str">
        <f>HYPERLINK("https://freddywills.com/pick/3502/ohio-9.html", "Ohio -9")</f>
        <v>Ohio -9</v>
      </c>
      <c r="E2777" s="11">
        <v>4.4000000000000004</v>
      </c>
      <c r="F2777" s="11">
        <v>-1.1000000000000001</v>
      </c>
      <c r="G2777" s="11" t="s">
        <v>6</v>
      </c>
      <c r="H2777" s="13">
        <v>-4400</v>
      </c>
      <c r="I2777" s="14">
        <f t="shared" si="102"/>
        <v>1.3883922</v>
      </c>
      <c r="J2777" s="13">
        <f t="shared" si="103"/>
        <v>173419.63000000003</v>
      </c>
    </row>
    <row r="2778" spans="1:10" x14ac:dyDescent="0.25">
      <c r="A2778" s="10">
        <v>40867</v>
      </c>
      <c r="B2778" s="11" t="s">
        <v>2</v>
      </c>
      <c r="C2778" s="11" t="s">
        <v>5</v>
      </c>
      <c r="D2778" s="16" t="str">
        <f>HYPERLINK("https://freddywills.com/pick/3509/chargers-4-5.html", "Chargers +4.5")</f>
        <v>Chargers +4.5</v>
      </c>
      <c r="E2778" s="11">
        <v>4.4000000000000004</v>
      </c>
      <c r="F2778" s="11">
        <v>-1.1000000000000001</v>
      </c>
      <c r="G2778" s="11" t="s">
        <v>6</v>
      </c>
      <c r="H2778" s="13">
        <v>-4400</v>
      </c>
      <c r="I2778" s="14">
        <f t="shared" si="102"/>
        <v>1.4323922</v>
      </c>
      <c r="J2778" s="13">
        <f t="shared" si="103"/>
        <v>177819.63000000003</v>
      </c>
    </row>
    <row r="2779" spans="1:10" x14ac:dyDescent="0.25">
      <c r="A2779" s="10">
        <v>40867</v>
      </c>
      <c r="B2779" s="11" t="s">
        <v>2</v>
      </c>
      <c r="C2779" s="11" t="s">
        <v>5</v>
      </c>
      <c r="D2779" s="16" t="str">
        <f>HYPERLINK("https://freddywills.com/pick/3510/titans-6-5.html", "Titans +6.5")</f>
        <v>Titans +6.5</v>
      </c>
      <c r="E2779" s="11">
        <v>3.3</v>
      </c>
      <c r="F2779" s="11">
        <v>-1.1000000000000001</v>
      </c>
      <c r="G2779" s="11" t="s">
        <v>4</v>
      </c>
      <c r="H2779" s="13">
        <v>3000</v>
      </c>
      <c r="I2779" s="14">
        <f t="shared" si="102"/>
        <v>1.4763922</v>
      </c>
      <c r="J2779" s="13">
        <f t="shared" si="103"/>
        <v>182219.63000000003</v>
      </c>
    </row>
    <row r="2780" spans="1:10" x14ac:dyDescent="0.25">
      <c r="A2780" s="10">
        <v>40867</v>
      </c>
      <c r="B2780" s="11" t="s">
        <v>2</v>
      </c>
      <c r="C2780" s="11" t="s">
        <v>5</v>
      </c>
      <c r="D2780" s="16" t="str">
        <f>HYPERLINK("https://freddywills.com/pick/3511/dolphins-2-5.html", "Dolphins -2.5")</f>
        <v>Dolphins -2.5</v>
      </c>
      <c r="E2780" s="11">
        <v>5.5</v>
      </c>
      <c r="F2780" s="11">
        <v>-1.1000000000000001</v>
      </c>
      <c r="G2780" s="11" t="s">
        <v>4</v>
      </c>
      <c r="H2780" s="13">
        <v>5000</v>
      </c>
      <c r="I2780" s="14">
        <f t="shared" si="102"/>
        <v>1.4463922</v>
      </c>
      <c r="J2780" s="13">
        <f t="shared" si="103"/>
        <v>179219.63000000003</v>
      </c>
    </row>
    <row r="2781" spans="1:10" x14ac:dyDescent="0.25">
      <c r="A2781" s="10">
        <v>40867</v>
      </c>
      <c r="B2781" s="11" t="s">
        <v>2</v>
      </c>
      <c r="C2781" s="11" t="s">
        <v>5</v>
      </c>
      <c r="D2781" s="16" t="str">
        <f>HYPERLINK("https://freddywills.com/pick/3512/redskins-7-5.html", "Redskins +7.5")</f>
        <v>Redskins +7.5</v>
      </c>
      <c r="E2781" s="11">
        <v>3.3</v>
      </c>
      <c r="F2781" s="11">
        <v>-1.1000000000000001</v>
      </c>
      <c r="G2781" s="11" t="s">
        <v>4</v>
      </c>
      <c r="H2781" s="13">
        <v>3000</v>
      </c>
      <c r="I2781" s="14">
        <f t="shared" si="102"/>
        <v>1.3963922</v>
      </c>
      <c r="J2781" s="13">
        <f t="shared" si="103"/>
        <v>174219.63000000003</v>
      </c>
    </row>
    <row r="2782" spans="1:10" x14ac:dyDescent="0.25">
      <c r="A2782" s="10">
        <v>40866</v>
      </c>
      <c r="B2782" s="11" t="s">
        <v>8</v>
      </c>
      <c r="C2782" s="11" t="s">
        <v>5</v>
      </c>
      <c r="D2782" s="16" t="str">
        <f>HYPERLINK("https://freddywills.com/pick/3513/rutgers-3.html", "Rutgers +3")</f>
        <v>Rutgers +3</v>
      </c>
      <c r="E2782" s="11">
        <v>5.5</v>
      </c>
      <c r="F2782" s="11">
        <v>-1.1000000000000001</v>
      </c>
      <c r="G2782" s="11" t="s">
        <v>4</v>
      </c>
      <c r="H2782" s="13">
        <v>5000</v>
      </c>
      <c r="I2782" s="14">
        <f t="shared" si="102"/>
        <v>1.3663921999999999</v>
      </c>
      <c r="J2782" s="13">
        <f t="shared" si="103"/>
        <v>171219.63000000003</v>
      </c>
    </row>
    <row r="2783" spans="1:10" x14ac:dyDescent="0.25">
      <c r="A2783" s="10">
        <v>40866</v>
      </c>
      <c r="B2783" s="11" t="s">
        <v>8</v>
      </c>
      <c r="C2783" s="11" t="s">
        <v>5</v>
      </c>
      <c r="D2783" s="16" t="str">
        <f>HYPERLINK("https://freddywills.com/pick/3514/purdue-3-120.html", "Purdue +3 -120")</f>
        <v>Purdue +3 -120</v>
      </c>
      <c r="E2783" s="11">
        <v>3.3</v>
      </c>
      <c r="F2783" s="11">
        <v>-1.2</v>
      </c>
      <c r="G2783" s="11" t="s">
        <v>6</v>
      </c>
      <c r="H2783" s="13">
        <v>-3300</v>
      </c>
      <c r="I2783" s="14">
        <f t="shared" si="102"/>
        <v>1.3163921999999999</v>
      </c>
      <c r="J2783" s="13">
        <f t="shared" si="103"/>
        <v>166219.63000000003</v>
      </c>
    </row>
    <row r="2784" spans="1:10" x14ac:dyDescent="0.25">
      <c r="A2784" s="10">
        <v>40866</v>
      </c>
      <c r="B2784" s="11" t="s">
        <v>8</v>
      </c>
      <c r="C2784" s="11" t="s">
        <v>5</v>
      </c>
      <c r="D2784" s="16" t="str">
        <f>HYPERLINK("https://freddywills.com/pick/3515/oregon-st-2.html", "Oregon St +2")</f>
        <v>Oregon St +2</v>
      </c>
      <c r="E2784" s="11">
        <v>4.4000000000000004</v>
      </c>
      <c r="F2784" s="11">
        <v>-1.1000000000000001</v>
      </c>
      <c r="G2784" s="11" t="s">
        <v>4</v>
      </c>
      <c r="H2784" s="13">
        <v>4000</v>
      </c>
      <c r="I2784" s="14">
        <f t="shared" si="102"/>
        <v>1.3493921999999998</v>
      </c>
      <c r="J2784" s="13">
        <f t="shared" si="103"/>
        <v>169519.63000000003</v>
      </c>
    </row>
    <row r="2785" spans="1:10" x14ac:dyDescent="0.25">
      <c r="A2785" s="10">
        <v>40866</v>
      </c>
      <c r="B2785" s="11" t="s">
        <v>8</v>
      </c>
      <c r="C2785" s="11" t="s">
        <v>5</v>
      </c>
      <c r="D2785" s="16" t="str">
        <f>HYPERLINK("https://freddywills.com/pick/3516/washington-st-3-5.html", "Washington St +3.5")</f>
        <v>Washington St +3.5</v>
      </c>
      <c r="E2785" s="11">
        <v>5</v>
      </c>
      <c r="F2785" s="11">
        <v>-1.1000000000000001</v>
      </c>
      <c r="G2785" s="11" t="s">
        <v>4</v>
      </c>
      <c r="H2785" s="13">
        <v>4545.45</v>
      </c>
      <c r="I2785" s="14">
        <f t="shared" si="102"/>
        <v>1.3093921999999998</v>
      </c>
      <c r="J2785" s="13">
        <f t="shared" si="103"/>
        <v>165519.63000000003</v>
      </c>
    </row>
    <row r="2786" spans="1:10" x14ac:dyDescent="0.25">
      <c r="A2786" s="10">
        <v>40866</v>
      </c>
      <c r="B2786" s="11" t="s">
        <v>8</v>
      </c>
      <c r="C2786" s="11" t="s">
        <v>5</v>
      </c>
      <c r="D2786" s="16" t="str">
        <f>HYPERLINK("https://freddywills.com/pick/3517/la-tech-7-5.html", "La Tech +7.5")</f>
        <v>La Tech +7.5</v>
      </c>
      <c r="E2786" s="11">
        <v>3.3</v>
      </c>
      <c r="F2786" s="11">
        <v>-1.1000000000000001</v>
      </c>
      <c r="G2786" s="11" t="s">
        <v>4</v>
      </c>
      <c r="H2786" s="13">
        <v>3000</v>
      </c>
      <c r="I2786" s="14">
        <f t="shared" si="102"/>
        <v>1.2639376999999998</v>
      </c>
      <c r="J2786" s="13">
        <f t="shared" si="103"/>
        <v>160974.18000000002</v>
      </c>
    </row>
    <row r="2787" spans="1:10" x14ac:dyDescent="0.25">
      <c r="A2787" s="10">
        <v>40866</v>
      </c>
      <c r="B2787" s="11" t="s">
        <v>8</v>
      </c>
      <c r="C2787" s="11" t="s">
        <v>18</v>
      </c>
      <c r="D2787" s="16" t="str">
        <f>HYPERLINK("https://freddywills.com/pick/3518/la-tech-252.html", "La Tech +252")</f>
        <v>La Tech +252</v>
      </c>
      <c r="E2787" s="11">
        <v>1</v>
      </c>
      <c r="F2787" s="11">
        <v>2.52</v>
      </c>
      <c r="G2787" s="11" t="s">
        <v>4</v>
      </c>
      <c r="H2787" s="13">
        <v>2520</v>
      </c>
      <c r="I2787" s="14">
        <f t="shared" si="102"/>
        <v>1.2339376999999998</v>
      </c>
      <c r="J2787" s="13">
        <f t="shared" si="103"/>
        <v>157974.18000000002</v>
      </c>
    </row>
    <row r="2788" spans="1:10" x14ac:dyDescent="0.25">
      <c r="A2788" s="10">
        <v>40866</v>
      </c>
      <c r="B2788" s="11" t="s">
        <v>8</v>
      </c>
      <c r="C2788" s="11" t="s">
        <v>5</v>
      </c>
      <c r="D2788" s="16" t="str">
        <f>HYPERLINK("https://freddywills.com/pick/3519/kent-st-3.html", "Kent St -3")</f>
        <v>Kent St -3</v>
      </c>
      <c r="E2788" s="11">
        <v>1.1000000000000001</v>
      </c>
      <c r="F2788" s="11">
        <v>-1.1000000000000001</v>
      </c>
      <c r="G2788" s="11" t="s">
        <v>4</v>
      </c>
      <c r="H2788" s="13">
        <v>1000</v>
      </c>
      <c r="I2788" s="14">
        <f t="shared" si="102"/>
        <v>1.2087376999999999</v>
      </c>
      <c r="J2788" s="13">
        <f t="shared" si="103"/>
        <v>155454.18000000002</v>
      </c>
    </row>
    <row r="2789" spans="1:10" x14ac:dyDescent="0.25">
      <c r="A2789" s="10">
        <v>40866</v>
      </c>
      <c r="B2789" s="11" t="s">
        <v>8</v>
      </c>
      <c r="C2789" s="11" t="s">
        <v>5</v>
      </c>
      <c r="D2789" s="16" t="str">
        <f>HYPERLINK("https://freddywills.com/pick/3521/kansas-state-0.html", "Kansas State +0")</f>
        <v>Kansas State +0</v>
      </c>
      <c r="E2789" s="11">
        <v>4.4000000000000004</v>
      </c>
      <c r="F2789" s="11">
        <v>-1.1000000000000001</v>
      </c>
      <c r="G2789" s="11" t="s">
        <v>4</v>
      </c>
      <c r="H2789" s="13">
        <v>4000</v>
      </c>
      <c r="I2789" s="14">
        <f t="shared" si="102"/>
        <v>1.1987376999999999</v>
      </c>
      <c r="J2789" s="13">
        <f t="shared" si="103"/>
        <v>154454.18000000002</v>
      </c>
    </row>
    <row r="2790" spans="1:10" x14ac:dyDescent="0.25">
      <c r="A2790" s="10">
        <v>40865</v>
      </c>
      <c r="B2790" s="11" t="s">
        <v>8</v>
      </c>
      <c r="C2790" s="11" t="s">
        <v>5</v>
      </c>
      <c r="D2790" s="16" t="str">
        <f>HYPERLINK("https://freddywills.com/pick/3523/iowa-state-28.html", "Iowa State +28")</f>
        <v>Iowa State +28</v>
      </c>
      <c r="E2790" s="11">
        <v>4.4000000000000004</v>
      </c>
      <c r="F2790" s="11">
        <v>-1.1000000000000001</v>
      </c>
      <c r="G2790" s="11" t="s">
        <v>4</v>
      </c>
      <c r="H2790" s="13">
        <v>4000</v>
      </c>
      <c r="I2790" s="14">
        <f t="shared" si="102"/>
        <v>1.1587376999999999</v>
      </c>
      <c r="J2790" s="13">
        <f t="shared" si="103"/>
        <v>150454.18000000002</v>
      </c>
    </row>
    <row r="2791" spans="1:10" x14ac:dyDescent="0.25">
      <c r="A2791" s="10">
        <v>40865</v>
      </c>
      <c r="B2791" s="11" t="s">
        <v>8</v>
      </c>
      <c r="C2791" s="11" t="s">
        <v>18</v>
      </c>
      <c r="D2791" s="16" t="str">
        <f>HYPERLINK("https://freddywills.com/pick/3524/iowa-st-2250.html", "Iowa St +2250")</f>
        <v>Iowa St +2250</v>
      </c>
      <c r="E2791" s="11">
        <v>1</v>
      </c>
      <c r="F2791" s="11">
        <v>22.5</v>
      </c>
      <c r="G2791" s="11" t="s">
        <v>4</v>
      </c>
      <c r="H2791" s="13">
        <v>22500</v>
      </c>
      <c r="I2791" s="14">
        <f t="shared" si="102"/>
        <v>1.1187376999999998</v>
      </c>
      <c r="J2791" s="13">
        <f t="shared" si="103"/>
        <v>146454.18000000002</v>
      </c>
    </row>
    <row r="2792" spans="1:10" x14ac:dyDescent="0.25">
      <c r="A2792" s="10">
        <v>40864</v>
      </c>
      <c r="B2792" s="11" t="s">
        <v>2</v>
      </c>
      <c r="C2792" s="11" t="s">
        <v>7</v>
      </c>
      <c r="D2792" s="16" t="str">
        <f>HYPERLINK("https://freddywills.com/pick/3530/nyj-den-u40-5.html", "NYJ/DEN U40.5")</f>
        <v>NYJ/DEN U40.5</v>
      </c>
      <c r="E2792" s="11">
        <v>4.4000000000000004</v>
      </c>
      <c r="F2792" s="11">
        <v>-1.1000000000000001</v>
      </c>
      <c r="G2792" s="11" t="s">
        <v>4</v>
      </c>
      <c r="H2792" s="13">
        <v>4000</v>
      </c>
      <c r="I2792" s="14">
        <f t="shared" si="102"/>
        <v>0.89373769999999986</v>
      </c>
      <c r="J2792" s="13">
        <f t="shared" si="103"/>
        <v>123954.18000000002</v>
      </c>
    </row>
    <row r="2793" spans="1:10" x14ac:dyDescent="0.25">
      <c r="A2793" s="10">
        <v>40864</v>
      </c>
      <c r="B2793" s="11" t="s">
        <v>8</v>
      </c>
      <c r="C2793" s="11" t="s">
        <v>5</v>
      </c>
      <c r="D2793" s="16" t="str">
        <f>HYPERLINK("https://freddywills.com/pick/3531/unc-10-5.html", "UNC +10.5")</f>
        <v>UNC +10.5</v>
      </c>
      <c r="E2793" s="11">
        <v>4.4000000000000004</v>
      </c>
      <c r="F2793" s="11">
        <v>-1.1000000000000001</v>
      </c>
      <c r="G2793" s="11" t="s">
        <v>4</v>
      </c>
      <c r="H2793" s="13">
        <v>4000</v>
      </c>
      <c r="I2793" s="14">
        <f t="shared" si="102"/>
        <v>0.85373769999999982</v>
      </c>
      <c r="J2793" s="13">
        <f t="shared" si="103"/>
        <v>119954.18000000002</v>
      </c>
    </row>
    <row r="2794" spans="1:10" x14ac:dyDescent="0.25">
      <c r="A2794" s="10">
        <v>40864</v>
      </c>
      <c r="B2794" s="11" t="s">
        <v>8</v>
      </c>
      <c r="C2794" s="11" t="s">
        <v>5</v>
      </c>
      <c r="D2794" s="16" t="str">
        <f>HYPERLINK("https://freddywills.com/pick/3532/memphis-11-5.html", "Memphis +11.5")</f>
        <v>Memphis +11.5</v>
      </c>
      <c r="E2794" s="11">
        <v>3.3</v>
      </c>
      <c r="F2794" s="11">
        <v>-1.1000000000000001</v>
      </c>
      <c r="G2794" s="11" t="s">
        <v>4</v>
      </c>
      <c r="H2794" s="13">
        <v>3000</v>
      </c>
      <c r="I2794" s="14">
        <f t="shared" si="102"/>
        <v>0.81373769999999979</v>
      </c>
      <c r="J2794" s="13">
        <f t="shared" si="103"/>
        <v>115954.18000000002</v>
      </c>
    </row>
    <row r="2795" spans="1:10" x14ac:dyDescent="0.25">
      <c r="A2795" s="10">
        <v>40863</v>
      </c>
      <c r="B2795" s="11" t="s">
        <v>8</v>
      </c>
      <c r="C2795" s="11" t="s">
        <v>5</v>
      </c>
      <c r="D2795" s="16" t="str">
        <f>HYPERLINK("https://freddywills.com/pick/3534/western-mich-1-5.html", "Western Mich +1.5")</f>
        <v>Western Mich +1.5</v>
      </c>
      <c r="E2795" s="11">
        <v>4.4000000000000004</v>
      </c>
      <c r="F2795" s="11">
        <v>-1.1000000000000001</v>
      </c>
      <c r="G2795" s="11" t="s">
        <v>4</v>
      </c>
      <c r="H2795" s="13">
        <v>4000</v>
      </c>
      <c r="I2795" s="14">
        <f t="shared" si="102"/>
        <v>0.78373769999999976</v>
      </c>
      <c r="J2795" s="13">
        <f t="shared" si="103"/>
        <v>112954.18000000002</v>
      </c>
    </row>
    <row r="2796" spans="1:10" x14ac:dyDescent="0.25">
      <c r="A2796" s="10">
        <v>40862</v>
      </c>
      <c r="B2796" s="11" t="s">
        <v>8</v>
      </c>
      <c r="C2796" s="11" t="s">
        <v>5</v>
      </c>
      <c r="D2796" s="16" t="str">
        <f>HYPERLINK("https://freddywills.com/pick/3535/nill-17-120.html", "Nill -17 -120")</f>
        <v>Nill -17 -120</v>
      </c>
      <c r="E2796" s="11">
        <v>4.5</v>
      </c>
      <c r="F2796" s="11">
        <v>-1.2</v>
      </c>
      <c r="G2796" s="11" t="s">
        <v>6</v>
      </c>
      <c r="H2796" s="13">
        <v>-4500</v>
      </c>
      <c r="I2796" s="14">
        <f t="shared" si="102"/>
        <v>0.74373769999999972</v>
      </c>
      <c r="J2796" s="13">
        <f t="shared" si="103"/>
        <v>108954.18000000002</v>
      </c>
    </row>
    <row r="2797" spans="1:10" x14ac:dyDescent="0.25">
      <c r="A2797" s="10">
        <v>40861</v>
      </c>
      <c r="B2797" s="11" t="s">
        <v>2</v>
      </c>
      <c r="C2797" s="11" t="s">
        <v>5</v>
      </c>
      <c r="D2797" s="16" t="str">
        <f>HYPERLINK("https://freddywills.com/pick/3536/packers-13.html", "Packers -13")</f>
        <v>Packers -13</v>
      </c>
      <c r="E2797" s="11">
        <v>3.3</v>
      </c>
      <c r="F2797" s="11">
        <v>-1.1000000000000001</v>
      </c>
      <c r="G2797" s="11" t="s">
        <v>4</v>
      </c>
      <c r="H2797" s="13">
        <v>3000</v>
      </c>
      <c r="I2797" s="14">
        <f t="shared" si="102"/>
        <v>0.78873769999999976</v>
      </c>
      <c r="J2797" s="13">
        <f t="shared" si="103"/>
        <v>113454.18000000002</v>
      </c>
    </row>
    <row r="2798" spans="1:10" x14ac:dyDescent="0.25">
      <c r="A2798" s="10">
        <v>40860</v>
      </c>
      <c r="B2798" s="11" t="s">
        <v>2</v>
      </c>
      <c r="C2798" s="11" t="s">
        <v>5</v>
      </c>
      <c r="D2798" s="16" t="str">
        <f>HYPERLINK("https://freddywills.com/pick/3537/giants-4.html", "Giants +4")</f>
        <v>Giants +4</v>
      </c>
      <c r="E2798" s="11">
        <v>4.4000000000000004</v>
      </c>
      <c r="F2798" s="11">
        <v>-1.1000000000000001</v>
      </c>
      <c r="G2798" s="11" t="s">
        <v>6</v>
      </c>
      <c r="H2798" s="13">
        <v>-4400</v>
      </c>
      <c r="I2798" s="14">
        <f t="shared" si="102"/>
        <v>0.75873769999999974</v>
      </c>
      <c r="J2798" s="13">
        <f t="shared" si="103"/>
        <v>110454.18000000002</v>
      </c>
    </row>
    <row r="2799" spans="1:10" x14ac:dyDescent="0.25">
      <c r="A2799" s="10">
        <v>40860</v>
      </c>
      <c r="B2799" s="11" t="s">
        <v>2</v>
      </c>
      <c r="C2799" s="11" t="s">
        <v>5</v>
      </c>
      <c r="D2799" s="16" t="str">
        <f>HYPERLINK("https://freddywills.com/pick/3538/bears-2-5.html", "Bears -2.5")</f>
        <v>Bears -2.5</v>
      </c>
      <c r="E2799" s="11">
        <v>4</v>
      </c>
      <c r="F2799" s="11">
        <v>-1.1000000000000001</v>
      </c>
      <c r="G2799" s="11" t="s">
        <v>4</v>
      </c>
      <c r="H2799" s="13">
        <v>3636.36</v>
      </c>
      <c r="I2799" s="14">
        <f t="shared" si="102"/>
        <v>0.80273769999999978</v>
      </c>
      <c r="J2799" s="13">
        <f t="shared" si="103"/>
        <v>114854.18000000002</v>
      </c>
    </row>
    <row r="2800" spans="1:10" x14ac:dyDescent="0.25">
      <c r="A2800" s="10">
        <v>40860</v>
      </c>
      <c r="B2800" s="11" t="s">
        <v>2</v>
      </c>
      <c r="C2800" s="11" t="s">
        <v>5</v>
      </c>
      <c r="D2800" s="16" t="str">
        <f>HYPERLINK("https://freddywills.com/pick/3539/falcons-1.html", "Falcons -1")</f>
        <v>Falcons -1</v>
      </c>
      <c r="E2800" s="11">
        <v>3.3</v>
      </c>
      <c r="F2800" s="11">
        <v>-1.1000000000000001</v>
      </c>
      <c r="G2800" s="11" t="s">
        <v>6</v>
      </c>
      <c r="H2800" s="13">
        <v>-3300</v>
      </c>
      <c r="I2800" s="14">
        <f t="shared" si="102"/>
        <v>0.76637409999999972</v>
      </c>
      <c r="J2800" s="13">
        <f t="shared" si="103"/>
        <v>111217.82000000002</v>
      </c>
    </row>
    <row r="2801" spans="1:10" x14ac:dyDescent="0.25">
      <c r="A2801" s="10">
        <v>40860</v>
      </c>
      <c r="B2801" s="11" t="s">
        <v>2</v>
      </c>
      <c r="C2801" s="11" t="s">
        <v>5</v>
      </c>
      <c r="D2801" s="16" t="str">
        <f>HYPERLINK("https://freddywills.com/pick/3540/dolphins-4.html", "Dolphins -4")</f>
        <v>Dolphins -4</v>
      </c>
      <c r="E2801" s="11">
        <v>3.3</v>
      </c>
      <c r="F2801" s="11">
        <v>-1.1000000000000001</v>
      </c>
      <c r="G2801" s="11" t="s">
        <v>4</v>
      </c>
      <c r="H2801" s="13">
        <v>3000</v>
      </c>
      <c r="I2801" s="14">
        <f t="shared" si="102"/>
        <v>0.79937409999999975</v>
      </c>
      <c r="J2801" s="13">
        <f t="shared" si="103"/>
        <v>114517.82000000002</v>
      </c>
    </row>
    <row r="2802" spans="1:10" x14ac:dyDescent="0.25">
      <c r="A2802" s="10">
        <v>40860</v>
      </c>
      <c r="B2802" s="11" t="s">
        <v>2</v>
      </c>
      <c r="C2802" s="11" t="s">
        <v>5</v>
      </c>
      <c r="D2802" s="16" t="str">
        <f>HYPERLINK("https://freddywills.com/pick/3541/chiefs-3.html", "Chiefs -3")</f>
        <v>Chiefs -3</v>
      </c>
      <c r="E2802" s="11">
        <v>5.5</v>
      </c>
      <c r="F2802" s="11">
        <v>-1.1000000000000001</v>
      </c>
      <c r="G2802" s="11" t="s">
        <v>6</v>
      </c>
      <c r="H2802" s="13">
        <v>-5500</v>
      </c>
      <c r="I2802" s="14">
        <f t="shared" si="102"/>
        <v>0.76937409999999973</v>
      </c>
      <c r="J2802" s="13">
        <f t="shared" si="103"/>
        <v>111517.82000000002</v>
      </c>
    </row>
    <row r="2803" spans="1:10" x14ac:dyDescent="0.25">
      <c r="A2803" s="10">
        <v>40859</v>
      </c>
      <c r="B2803" s="11" t="s">
        <v>8</v>
      </c>
      <c r="C2803" s="11" t="s">
        <v>5</v>
      </c>
      <c r="D2803" s="16" t="str">
        <f>HYPERLINK("https://freddywills.com/pick/3542/colorado-11.html", "Colorado +11")</f>
        <v>Colorado +11</v>
      </c>
      <c r="E2803" s="11">
        <v>5</v>
      </c>
      <c r="F2803" s="11">
        <v>-1.1000000000000001</v>
      </c>
      <c r="G2803" s="11" t="s">
        <v>4</v>
      </c>
      <c r="H2803" s="13">
        <v>4545.45</v>
      </c>
      <c r="I2803" s="14">
        <f t="shared" si="102"/>
        <v>0.82437409999999978</v>
      </c>
      <c r="J2803" s="13">
        <f t="shared" si="103"/>
        <v>117017.82000000002</v>
      </c>
    </row>
    <row r="2804" spans="1:10" x14ac:dyDescent="0.25">
      <c r="A2804" s="10">
        <v>40859</v>
      </c>
      <c r="B2804" s="11" t="s">
        <v>8</v>
      </c>
      <c r="C2804" s="11" t="s">
        <v>18</v>
      </c>
      <c r="D2804" s="16" t="str">
        <f>HYPERLINK("https://freddywills.com/pick/3543/colorado-365.html", "Colorado +365")</f>
        <v>Colorado +365</v>
      </c>
      <c r="E2804" s="11">
        <v>2</v>
      </c>
      <c r="F2804" s="11">
        <v>3.65</v>
      </c>
      <c r="G2804" s="11" t="s">
        <v>4</v>
      </c>
      <c r="H2804" s="13">
        <v>7300</v>
      </c>
      <c r="I2804" s="14">
        <f t="shared" si="102"/>
        <v>0.77891959999999982</v>
      </c>
      <c r="J2804" s="13">
        <f t="shared" si="103"/>
        <v>112472.37000000002</v>
      </c>
    </row>
    <row r="2805" spans="1:10" x14ac:dyDescent="0.25">
      <c r="A2805" s="10">
        <v>40859</v>
      </c>
      <c r="B2805" s="11" t="s">
        <v>8</v>
      </c>
      <c r="C2805" s="11" t="s">
        <v>5</v>
      </c>
      <c r="D2805" s="16" t="str">
        <f>HYPERLINK("https://freddywills.com/pick/3544/missouri-1-5.html", "Missouri +1.5")</f>
        <v>Missouri +1.5</v>
      </c>
      <c r="E2805" s="11">
        <v>5.5</v>
      </c>
      <c r="F2805" s="11">
        <v>-1.1000000000000001</v>
      </c>
      <c r="G2805" s="11" t="s">
        <v>4</v>
      </c>
      <c r="H2805" s="13">
        <v>5000</v>
      </c>
      <c r="I2805" s="14">
        <f t="shared" si="102"/>
        <v>0.70591959999999987</v>
      </c>
      <c r="J2805" s="13">
        <f t="shared" si="103"/>
        <v>105172.37000000002</v>
      </c>
    </row>
    <row r="2806" spans="1:10" x14ac:dyDescent="0.25">
      <c r="A2806" s="10">
        <v>40859</v>
      </c>
      <c r="B2806" s="11" t="s">
        <v>8</v>
      </c>
      <c r="C2806" s="11" t="s">
        <v>5</v>
      </c>
      <c r="D2806" s="16" t="str">
        <f>HYPERLINK("https://freddywills.com/pick/3545/purdue-7-5.html", "Purdue +7.5")</f>
        <v>Purdue +7.5</v>
      </c>
      <c r="E2806" s="11">
        <v>4.4000000000000004</v>
      </c>
      <c r="F2806" s="11">
        <v>-1.1000000000000001</v>
      </c>
      <c r="G2806" s="11" t="s">
        <v>4</v>
      </c>
      <c r="H2806" s="13">
        <v>4000</v>
      </c>
      <c r="I2806" s="14">
        <f t="shared" si="102"/>
        <v>0.65591959999999983</v>
      </c>
      <c r="J2806" s="13">
        <f t="shared" si="103"/>
        <v>100172.37000000002</v>
      </c>
    </row>
    <row r="2807" spans="1:10" x14ac:dyDescent="0.25">
      <c r="A2807" s="10">
        <v>40859</v>
      </c>
      <c r="B2807" s="11" t="s">
        <v>8</v>
      </c>
      <c r="C2807" s="11" t="s">
        <v>5</v>
      </c>
      <c r="D2807" s="16" t="str">
        <f>HYPERLINK("https://freddywills.com/pick/3546/texas-tech-17-5.html", "Texas Tech +17.5")</f>
        <v>Texas Tech +17.5</v>
      </c>
      <c r="E2807" s="11">
        <v>3.3</v>
      </c>
      <c r="F2807" s="11">
        <v>-1.1000000000000001</v>
      </c>
      <c r="G2807" s="11" t="s">
        <v>6</v>
      </c>
      <c r="H2807" s="13">
        <v>-3300</v>
      </c>
      <c r="I2807" s="14">
        <f t="shared" si="102"/>
        <v>0.61591959999999979</v>
      </c>
      <c r="J2807" s="13">
        <f t="shared" si="103"/>
        <v>96172.370000000024</v>
      </c>
    </row>
    <row r="2808" spans="1:10" x14ac:dyDescent="0.25">
      <c r="A2808" s="10">
        <v>40859</v>
      </c>
      <c r="B2808" s="11" t="s">
        <v>8</v>
      </c>
      <c r="C2808" s="11" t="s">
        <v>5</v>
      </c>
      <c r="D2808" s="16" t="str">
        <f>HYPERLINK("https://freddywills.com/pick/3547/la-tech-2.html", "LA Tech -2")</f>
        <v>LA Tech -2</v>
      </c>
      <c r="E2808" s="11">
        <v>3.3</v>
      </c>
      <c r="F2808" s="11">
        <v>-1.1000000000000001</v>
      </c>
      <c r="G2808" s="11" t="s">
        <v>4</v>
      </c>
      <c r="H2808" s="13">
        <v>3000</v>
      </c>
      <c r="I2808" s="14">
        <f t="shared" si="102"/>
        <v>0.64891959999999982</v>
      </c>
      <c r="J2808" s="13">
        <f t="shared" si="103"/>
        <v>99472.370000000024</v>
      </c>
    </row>
    <row r="2809" spans="1:10" x14ac:dyDescent="0.25">
      <c r="A2809" s="10">
        <v>40859</v>
      </c>
      <c r="B2809" s="11" t="s">
        <v>8</v>
      </c>
      <c r="C2809" s="11" t="s">
        <v>5</v>
      </c>
      <c r="D2809" s="16" t="str">
        <f>HYPERLINK("https://freddywills.com/pick/3548/oregon-3-5.html", "Oregon +3.5")</f>
        <v>Oregon +3.5</v>
      </c>
      <c r="E2809" s="11">
        <v>4.4000000000000004</v>
      </c>
      <c r="F2809" s="11">
        <v>-1.1000000000000001</v>
      </c>
      <c r="G2809" s="11" t="s">
        <v>4</v>
      </c>
      <c r="H2809" s="13">
        <v>4000</v>
      </c>
      <c r="I2809" s="14">
        <f t="shared" si="102"/>
        <v>0.61891959999999979</v>
      </c>
      <c r="J2809" s="13">
        <f t="shared" si="103"/>
        <v>96472.370000000024</v>
      </c>
    </row>
    <row r="2810" spans="1:10" x14ac:dyDescent="0.25">
      <c r="A2810" s="10">
        <v>40858</v>
      </c>
      <c r="B2810" s="11" t="s">
        <v>8</v>
      </c>
      <c r="C2810" s="11" t="s">
        <v>5</v>
      </c>
      <c r="D2810" s="16" t="str">
        <f>HYPERLINK("https://freddywills.com/pick/3549/syracuse-3-5.html", "Syracuse +3.5")</f>
        <v>Syracuse +3.5</v>
      </c>
      <c r="E2810" s="11">
        <v>4.4000000000000004</v>
      </c>
      <c r="F2810" s="11">
        <v>-1.1000000000000001</v>
      </c>
      <c r="G2810" s="11" t="s">
        <v>6</v>
      </c>
      <c r="H2810" s="13">
        <v>-4400</v>
      </c>
      <c r="I2810" s="14">
        <f t="shared" si="102"/>
        <v>0.57891959999999976</v>
      </c>
      <c r="J2810" s="13">
        <f t="shared" si="103"/>
        <v>92472.370000000024</v>
      </c>
    </row>
    <row r="2811" spans="1:10" x14ac:dyDescent="0.25">
      <c r="A2811" s="10">
        <v>40857</v>
      </c>
      <c r="B2811" s="11" t="s">
        <v>8</v>
      </c>
      <c r="C2811" s="11" t="s">
        <v>5</v>
      </c>
      <c r="D2811" s="16" t="str">
        <f>HYPERLINK("https://freddywills.com/pick/3550/gtech-1-wow.html", "Gtech +1 WOW")</f>
        <v>Gtech +1 WOW</v>
      </c>
      <c r="E2811" s="11">
        <v>5.5</v>
      </c>
      <c r="F2811" s="11">
        <v>-1.1000000000000001</v>
      </c>
      <c r="G2811" s="11" t="s">
        <v>6</v>
      </c>
      <c r="H2811" s="13">
        <v>-5500</v>
      </c>
      <c r="I2811" s="14">
        <f t="shared" si="102"/>
        <v>0.6229195999999998</v>
      </c>
      <c r="J2811" s="13">
        <f t="shared" si="103"/>
        <v>96872.370000000024</v>
      </c>
    </row>
    <row r="2812" spans="1:10" x14ac:dyDescent="0.25">
      <c r="A2812" s="10">
        <v>40857</v>
      </c>
      <c r="B2812" s="11" t="s">
        <v>2</v>
      </c>
      <c r="C2812" s="11" t="s">
        <v>5</v>
      </c>
      <c r="D2812" s="16" t="str">
        <f>HYPERLINK("https://freddywills.com/pick/3551/raiders-7-5.html", "Raiders +7.5")</f>
        <v>Raiders +7.5</v>
      </c>
      <c r="E2812" s="11">
        <v>4.4000000000000004</v>
      </c>
      <c r="F2812" s="11">
        <v>-1.1000000000000001</v>
      </c>
      <c r="G2812" s="11" t="s">
        <v>4</v>
      </c>
      <c r="H2812" s="13">
        <v>4000</v>
      </c>
      <c r="I2812" s="14">
        <f t="shared" si="102"/>
        <v>0.67791959999999984</v>
      </c>
      <c r="J2812" s="13">
        <f t="shared" si="103"/>
        <v>102372.37000000002</v>
      </c>
    </row>
    <row r="2813" spans="1:10" x14ac:dyDescent="0.25">
      <c r="A2813" s="10">
        <v>40856</v>
      </c>
      <c r="B2813" s="11" t="s">
        <v>8</v>
      </c>
      <c r="C2813" s="11" t="s">
        <v>5</v>
      </c>
      <c r="D2813" s="16" t="str">
        <f>HYPERLINK("https://freddywills.com/pick/3552/mia-oh-13.html", "MIA OH +13")</f>
        <v>MIA OH +13</v>
      </c>
      <c r="E2813" s="11">
        <v>4.4000000000000004</v>
      </c>
      <c r="F2813" s="11">
        <v>-1.1000000000000001</v>
      </c>
      <c r="G2813" s="11" t="s">
        <v>4</v>
      </c>
      <c r="H2813" s="13">
        <v>4000</v>
      </c>
      <c r="I2813" s="14">
        <f t="shared" si="102"/>
        <v>0.63791959999999981</v>
      </c>
      <c r="J2813" s="13">
        <f t="shared" si="103"/>
        <v>98372.370000000024</v>
      </c>
    </row>
    <row r="2814" spans="1:10" x14ac:dyDescent="0.25">
      <c r="A2814" s="10">
        <v>40856</v>
      </c>
      <c r="B2814" s="11" t="s">
        <v>8</v>
      </c>
      <c r="C2814" s="11" t="s">
        <v>18</v>
      </c>
      <c r="D2814" s="16" t="str">
        <f>HYPERLINK("https://freddywills.com/pick/3553/mia-oh-420.html", "MIA OH +420")</f>
        <v>MIA OH +420</v>
      </c>
      <c r="E2814" s="11">
        <v>1</v>
      </c>
      <c r="F2814" s="11">
        <v>4.2</v>
      </c>
      <c r="G2814" s="11" t="s">
        <v>6</v>
      </c>
      <c r="H2814" s="13">
        <v>-1000</v>
      </c>
      <c r="I2814" s="14">
        <f t="shared" si="102"/>
        <v>0.59791959999999977</v>
      </c>
      <c r="J2814" s="13">
        <f t="shared" si="103"/>
        <v>94372.370000000024</v>
      </c>
    </row>
    <row r="2815" spans="1:10" x14ac:dyDescent="0.25">
      <c r="A2815" s="10">
        <v>40855</v>
      </c>
      <c r="B2815" s="11" t="s">
        <v>8</v>
      </c>
      <c r="C2815" s="11" t="s">
        <v>5</v>
      </c>
      <c r="D2815" s="16" t="str">
        <f>HYPERLINK("https://freddywills.com/pick/3554/bowling-green-6.html", "Bowling Green +6")</f>
        <v>Bowling Green +6</v>
      </c>
      <c r="E2815" s="11">
        <v>4.4000000000000004</v>
      </c>
      <c r="F2815" s="11">
        <v>-1.1000000000000001</v>
      </c>
      <c r="G2815" s="11" t="s">
        <v>6</v>
      </c>
      <c r="H2815" s="13">
        <v>-4400</v>
      </c>
      <c r="I2815" s="14">
        <f t="shared" si="102"/>
        <v>0.60791959999999978</v>
      </c>
      <c r="J2815" s="13">
        <f t="shared" si="103"/>
        <v>95372.370000000024</v>
      </c>
    </row>
    <row r="2816" spans="1:10" x14ac:dyDescent="0.25">
      <c r="A2816" s="10">
        <v>40854</v>
      </c>
      <c r="B2816" s="11" t="s">
        <v>2</v>
      </c>
      <c r="C2816" s="11" t="s">
        <v>5</v>
      </c>
      <c r="D2816" s="16" t="str">
        <f>HYPERLINK("https://freddywills.com/pick/3555/bears-9.html", "Bears +9")</f>
        <v>Bears +9</v>
      </c>
      <c r="E2816" s="11">
        <v>4.4000000000000004</v>
      </c>
      <c r="F2816" s="11">
        <v>-1.1000000000000001</v>
      </c>
      <c r="G2816" s="11" t="s">
        <v>4</v>
      </c>
      <c r="H2816" s="13">
        <v>4000</v>
      </c>
      <c r="I2816" s="14">
        <f t="shared" si="102"/>
        <v>0.65191959999999982</v>
      </c>
      <c r="J2816" s="13">
        <f t="shared" si="103"/>
        <v>99772.370000000024</v>
      </c>
    </row>
    <row r="2817" spans="1:10" x14ac:dyDescent="0.25">
      <c r="A2817" s="10">
        <v>40853</v>
      </c>
      <c r="B2817" s="11" t="s">
        <v>2</v>
      </c>
      <c r="C2817" s="11" t="s">
        <v>5</v>
      </c>
      <c r="D2817" s="16" t="str">
        <f>HYPERLINK("https://freddywills.com/pick/3556/dolphins-4-5.html", "Dolphins +4.5")</f>
        <v>Dolphins +4.5</v>
      </c>
      <c r="E2817" s="11">
        <v>4.4000000000000004</v>
      </c>
      <c r="F2817" s="11">
        <v>-1.1000000000000001</v>
      </c>
      <c r="G2817" s="11" t="s">
        <v>4</v>
      </c>
      <c r="H2817" s="13">
        <v>4000</v>
      </c>
      <c r="I2817" s="14">
        <f t="shared" si="102"/>
        <v>0.61191959999999979</v>
      </c>
      <c r="J2817" s="13">
        <f t="shared" si="103"/>
        <v>95772.370000000024</v>
      </c>
    </row>
    <row r="2818" spans="1:10" x14ac:dyDescent="0.25">
      <c r="A2818" s="10">
        <v>40853</v>
      </c>
      <c r="B2818" s="11" t="s">
        <v>2</v>
      </c>
      <c r="C2818" s="11" t="s">
        <v>18</v>
      </c>
      <c r="D2818" s="16" t="str">
        <f>HYPERLINK("https://freddywills.com/pick/3557/dolphins-190.html", "Dolphins +190")</f>
        <v>Dolphins +190</v>
      </c>
      <c r="E2818" s="11">
        <v>1</v>
      </c>
      <c r="F2818" s="11">
        <v>1.9</v>
      </c>
      <c r="G2818" s="11" t="s">
        <v>4</v>
      </c>
      <c r="H2818" s="13">
        <v>1900</v>
      </c>
      <c r="I2818" s="14">
        <f t="shared" si="102"/>
        <v>0.57191959999999975</v>
      </c>
      <c r="J2818" s="13">
        <f t="shared" si="103"/>
        <v>91772.370000000024</v>
      </c>
    </row>
    <row r="2819" spans="1:10" x14ac:dyDescent="0.25">
      <c r="A2819" s="10">
        <v>40853</v>
      </c>
      <c r="B2819" s="11" t="s">
        <v>2</v>
      </c>
      <c r="C2819" s="11" t="s">
        <v>5</v>
      </c>
      <c r="D2819" s="16" t="str">
        <f>HYPERLINK("https://freddywills.com/pick/3558/colts-7.html", "Colts +7")</f>
        <v>Colts +7</v>
      </c>
      <c r="E2819" s="11">
        <v>3.3</v>
      </c>
      <c r="F2819" s="11">
        <v>-1.1000000000000001</v>
      </c>
      <c r="G2819" s="11" t="s">
        <v>6</v>
      </c>
      <c r="H2819" s="13">
        <v>-3300</v>
      </c>
      <c r="I2819" s="14">
        <f t="shared" si="102"/>
        <v>0.55291959999999973</v>
      </c>
      <c r="J2819" s="13">
        <f t="shared" si="103"/>
        <v>89872.370000000024</v>
      </c>
    </row>
    <row r="2820" spans="1:10" x14ac:dyDescent="0.25">
      <c r="A2820" s="10">
        <v>40853</v>
      </c>
      <c r="B2820" s="11" t="s">
        <v>2</v>
      </c>
      <c r="C2820" s="11" t="s">
        <v>5</v>
      </c>
      <c r="D2820" s="16" t="str">
        <f>HYPERLINK("https://freddywills.com/pick/3559/rams-1.html", "Rams +1")</f>
        <v>Rams +1</v>
      </c>
      <c r="E2820" s="11">
        <v>4</v>
      </c>
      <c r="F2820" s="11">
        <v>-1.1000000000000001</v>
      </c>
      <c r="G2820" s="11" t="s">
        <v>6</v>
      </c>
      <c r="H2820" s="13">
        <v>-4000</v>
      </c>
      <c r="I2820" s="14">
        <f t="shared" si="102"/>
        <v>0.58591959999999976</v>
      </c>
      <c r="J2820" s="13">
        <f t="shared" si="103"/>
        <v>93172.370000000024</v>
      </c>
    </row>
    <row r="2821" spans="1:10" x14ac:dyDescent="0.25">
      <c r="A2821" s="10">
        <v>40853</v>
      </c>
      <c r="B2821" s="11" t="s">
        <v>2</v>
      </c>
      <c r="C2821" s="11" t="s">
        <v>5</v>
      </c>
      <c r="D2821" s="16" t="str">
        <f>HYPERLINK("https://freddywills.com/pick/3560/titans-2.html", "Titans -2")</f>
        <v>Titans -2</v>
      </c>
      <c r="E2821" s="11">
        <v>5.5</v>
      </c>
      <c r="F2821" s="11">
        <v>-1.1000000000000001</v>
      </c>
      <c r="G2821" s="11" t="s">
        <v>6</v>
      </c>
      <c r="H2821" s="13">
        <v>-5500</v>
      </c>
      <c r="I2821" s="14">
        <f t="shared" si="102"/>
        <v>0.6259195999999998</v>
      </c>
      <c r="J2821" s="13">
        <f t="shared" si="103"/>
        <v>97172.370000000024</v>
      </c>
    </row>
    <row r="2822" spans="1:10" x14ac:dyDescent="0.25">
      <c r="A2822" s="10">
        <v>40852</v>
      </c>
      <c r="B2822" s="11" t="s">
        <v>8</v>
      </c>
      <c r="C2822" s="11" t="s">
        <v>5</v>
      </c>
      <c r="D2822" s="16" t="str">
        <f>HYPERLINK("https://freddywills.com/pick/3561/miss-1-5.html", "Miss -1.5")</f>
        <v>Miss -1.5</v>
      </c>
      <c r="E2822" s="11">
        <v>3.3</v>
      </c>
      <c r="F2822" s="11">
        <v>-1.1000000000000001</v>
      </c>
      <c r="G2822" s="11" t="s">
        <v>6</v>
      </c>
      <c r="H2822" s="13">
        <v>-3300</v>
      </c>
      <c r="I2822" s="14">
        <f t="shared" si="102"/>
        <v>0.68091959999999985</v>
      </c>
      <c r="J2822" s="13">
        <f t="shared" si="103"/>
        <v>102672.37000000002</v>
      </c>
    </row>
    <row r="2823" spans="1:10" x14ac:dyDescent="0.25">
      <c r="A2823" s="10">
        <v>40852</v>
      </c>
      <c r="B2823" s="11" t="s">
        <v>8</v>
      </c>
      <c r="C2823" s="11" t="s">
        <v>18</v>
      </c>
      <c r="D2823" s="16" t="str">
        <f>HYPERLINK("https://freddywills.com/pick/3562/northwestern-700.html", "Northwestern +700")</f>
        <v>Northwestern +700</v>
      </c>
      <c r="E2823" s="11">
        <v>1</v>
      </c>
      <c r="F2823" s="11">
        <v>7</v>
      </c>
      <c r="G2823" s="11" t="s">
        <v>4</v>
      </c>
      <c r="H2823" s="13">
        <v>7000</v>
      </c>
      <c r="I2823" s="14">
        <f t="shared" si="102"/>
        <v>0.71391959999999988</v>
      </c>
      <c r="J2823" s="13">
        <f t="shared" si="103"/>
        <v>105972.37000000002</v>
      </c>
    </row>
    <row r="2824" spans="1:10" x14ac:dyDescent="0.25">
      <c r="A2824" s="10">
        <v>40852</v>
      </c>
      <c r="B2824" s="11" t="s">
        <v>8</v>
      </c>
      <c r="C2824" s="11" t="s">
        <v>5</v>
      </c>
      <c r="D2824" s="16" t="str">
        <f>HYPERLINK("https://freddywills.com/pick/3563/lsu-5.html", "LSU +5")</f>
        <v>LSU +5</v>
      </c>
      <c r="E2824" s="11">
        <v>4.4000000000000004</v>
      </c>
      <c r="F2824" s="11">
        <v>-1.1000000000000001</v>
      </c>
      <c r="G2824" s="11" t="s">
        <v>4</v>
      </c>
      <c r="H2824" s="13">
        <v>4000</v>
      </c>
      <c r="I2824" s="14">
        <f t="shared" si="102"/>
        <v>0.64391959999999993</v>
      </c>
      <c r="J2824" s="13">
        <f t="shared" si="103"/>
        <v>98972.370000000024</v>
      </c>
    </row>
    <row r="2825" spans="1:10" x14ac:dyDescent="0.25">
      <c r="A2825" s="10">
        <v>40852</v>
      </c>
      <c r="B2825" s="11" t="s">
        <v>8</v>
      </c>
      <c r="C2825" s="11" t="s">
        <v>5</v>
      </c>
      <c r="D2825" s="16" t="str">
        <f>HYPERLINK("https://freddywills.com/pick/3564/iowa-4-105.html", "Iowa +4 -105")</f>
        <v>Iowa +4 -105</v>
      </c>
      <c r="E2825" s="11">
        <v>3.5</v>
      </c>
      <c r="F2825" s="11">
        <v>-1.1000000000000001</v>
      </c>
      <c r="G2825" s="11" t="s">
        <v>4</v>
      </c>
      <c r="H2825" s="13">
        <v>3181.82</v>
      </c>
      <c r="I2825" s="14">
        <f t="shared" si="102"/>
        <v>0.60391959999999989</v>
      </c>
      <c r="J2825" s="13">
        <f t="shared" si="103"/>
        <v>94972.370000000024</v>
      </c>
    </row>
    <row r="2826" spans="1:10" x14ac:dyDescent="0.25">
      <c r="A2826" s="10">
        <v>40852</v>
      </c>
      <c r="B2826" s="11" t="s">
        <v>8</v>
      </c>
      <c r="C2826" s="11" t="s">
        <v>5</v>
      </c>
      <c r="D2826" s="16" t="str">
        <f>HYPERLINK("https://freddywills.com/pick/3565/uconn-2.html", "Uconn -2")</f>
        <v>Uconn -2</v>
      </c>
      <c r="E2826" s="11">
        <v>3</v>
      </c>
      <c r="F2826" s="11">
        <v>-1.1000000000000001</v>
      </c>
      <c r="G2826" s="11" t="s">
        <v>4</v>
      </c>
      <c r="H2826" s="13">
        <v>2727.27</v>
      </c>
      <c r="I2826" s="14">
        <f t="shared" si="102"/>
        <v>0.57210139999999987</v>
      </c>
      <c r="J2826" s="13">
        <f t="shared" si="103"/>
        <v>91790.550000000017</v>
      </c>
    </row>
    <row r="2827" spans="1:10" x14ac:dyDescent="0.25">
      <c r="A2827" s="10">
        <v>40852</v>
      </c>
      <c r="B2827" s="11" t="s">
        <v>8</v>
      </c>
      <c r="C2827" s="11" t="s">
        <v>5</v>
      </c>
      <c r="D2827" s="16" t="str">
        <f>HYPERLINK("https://freddywills.com/pick/3566/flint-2-5.html", "FLINT -2.5")</f>
        <v>FLINT -2.5</v>
      </c>
      <c r="E2827" s="11">
        <v>5.5</v>
      </c>
      <c r="F2827" s="11">
        <v>-1.1000000000000001</v>
      </c>
      <c r="G2827" s="11" t="s">
        <v>6</v>
      </c>
      <c r="H2827" s="13">
        <v>-5500</v>
      </c>
      <c r="I2827" s="14">
        <f t="shared" si="102"/>
        <v>0.54482869999999983</v>
      </c>
      <c r="J2827" s="13">
        <f t="shared" si="103"/>
        <v>89063.280000000013</v>
      </c>
    </row>
    <row r="2828" spans="1:10" x14ac:dyDescent="0.25">
      <c r="A2828" s="10">
        <v>40852</v>
      </c>
      <c r="B2828" s="11" t="s">
        <v>8</v>
      </c>
      <c r="C2828" s="11" t="s">
        <v>5</v>
      </c>
      <c r="D2828" s="16" t="str">
        <f>HYPERLINK("https://freddywills.com/pick/3567/rutgers-3-120.html", "Rutgers +3 -120")</f>
        <v>Rutgers +3 -120</v>
      </c>
      <c r="E2828" s="11">
        <v>4</v>
      </c>
      <c r="F2828" s="11">
        <v>-1.2</v>
      </c>
      <c r="G2828" s="11" t="s">
        <v>4</v>
      </c>
      <c r="H2828" s="13">
        <v>3333.33</v>
      </c>
      <c r="I2828" s="14">
        <f t="shared" si="102"/>
        <v>0.59982869999999988</v>
      </c>
      <c r="J2828" s="13">
        <f t="shared" si="103"/>
        <v>94563.280000000013</v>
      </c>
    </row>
    <row r="2829" spans="1:10" x14ac:dyDescent="0.25">
      <c r="A2829" s="10">
        <v>40851</v>
      </c>
      <c r="B2829" s="11" t="s">
        <v>8</v>
      </c>
      <c r="C2829" s="11" t="s">
        <v>5</v>
      </c>
      <c r="D2829" s="16" t="str">
        <f>HYPERLINK("https://freddywills.com/pick/3568/kent-st-1.html", "Kent St -1")</f>
        <v>Kent St -1</v>
      </c>
      <c r="E2829" s="11">
        <v>4.4000000000000004</v>
      </c>
      <c r="F2829" s="11">
        <v>-1.1000000000000001</v>
      </c>
      <c r="G2829" s="11" t="s">
        <v>4</v>
      </c>
      <c r="H2829" s="13">
        <v>4000</v>
      </c>
      <c r="I2829" s="14">
        <f t="shared" si="102"/>
        <v>0.56649539999999987</v>
      </c>
      <c r="J2829" s="13">
        <f t="shared" si="103"/>
        <v>91229.950000000012</v>
      </c>
    </row>
    <row r="2830" spans="1:10" x14ac:dyDescent="0.25">
      <c r="A2830" s="10">
        <v>40850</v>
      </c>
      <c r="B2830" s="11" t="s">
        <v>8</v>
      </c>
      <c r="C2830" s="11" t="s">
        <v>5</v>
      </c>
      <c r="D2830" s="16" t="str">
        <f>HYPERLINK("https://freddywills.com/pick/3569/fl-int-1.html", "FL INT -1")</f>
        <v>FL INT -1</v>
      </c>
      <c r="E2830" s="11">
        <v>5</v>
      </c>
      <c r="F2830" s="11">
        <v>-1.1000000000000001</v>
      </c>
      <c r="G2830" s="11" t="s">
        <v>6</v>
      </c>
      <c r="H2830" s="13">
        <v>-5000</v>
      </c>
      <c r="I2830" s="14">
        <f t="shared" si="102"/>
        <v>0.52649539999999984</v>
      </c>
      <c r="J2830" s="13">
        <f t="shared" si="103"/>
        <v>87229.950000000012</v>
      </c>
    </row>
    <row r="2831" spans="1:10" x14ac:dyDescent="0.25">
      <c r="A2831" s="10">
        <v>40849</v>
      </c>
      <c r="B2831" s="11" t="s">
        <v>8</v>
      </c>
      <c r="C2831" s="11" t="s">
        <v>5</v>
      </c>
      <c r="D2831" s="16" t="str">
        <f>HYPERLINK("https://freddywills.com/pick/3570/ohio-4.html", "Ohio +4")</f>
        <v>Ohio +4</v>
      </c>
      <c r="E2831" s="11">
        <v>4.4000000000000004</v>
      </c>
      <c r="F2831" s="11">
        <v>-1.1000000000000001</v>
      </c>
      <c r="G2831" s="11" t="s">
        <v>4</v>
      </c>
      <c r="H2831" s="13">
        <v>4000</v>
      </c>
      <c r="I2831" s="14">
        <f t="shared" si="102"/>
        <v>0.57649539999999988</v>
      </c>
      <c r="J2831" s="13">
        <f t="shared" si="103"/>
        <v>92229.950000000012</v>
      </c>
    </row>
    <row r="2832" spans="1:10" x14ac:dyDescent="0.25">
      <c r="A2832" s="10">
        <v>40848</v>
      </c>
      <c r="B2832" s="11" t="s">
        <v>8</v>
      </c>
      <c r="C2832" s="11" t="s">
        <v>5</v>
      </c>
      <c r="D2832" s="16" t="str">
        <f>HYPERLINK("https://freddywills.com/pick/3571/northern-ill-9.html", "Northern Ill +9")</f>
        <v>Northern Ill +9</v>
      </c>
      <c r="E2832" s="11">
        <v>4.4000000000000004</v>
      </c>
      <c r="F2832" s="11">
        <v>-1.1000000000000001</v>
      </c>
      <c r="G2832" s="11" t="s">
        <v>4</v>
      </c>
      <c r="H2832" s="13">
        <v>4000</v>
      </c>
      <c r="I2832" s="14">
        <f t="shared" si="102"/>
        <v>0.53649539999999984</v>
      </c>
      <c r="J2832" s="13">
        <f t="shared" si="103"/>
        <v>88229.950000000012</v>
      </c>
    </row>
    <row r="2833" spans="1:10" x14ac:dyDescent="0.25">
      <c r="A2833" s="10">
        <v>40847</v>
      </c>
      <c r="B2833" s="11" t="s">
        <v>2</v>
      </c>
      <c r="C2833" s="11" t="s">
        <v>3</v>
      </c>
      <c r="D2833" s="16" t="str">
        <f>HYPERLINK("https://freddywills.com/pick/3572/battle-1st-td.html", "Battle 1st TD")</f>
        <v>Battle 1st TD</v>
      </c>
      <c r="E2833" s="11">
        <v>1</v>
      </c>
      <c r="F2833" s="11">
        <v>-1.1000000000000001</v>
      </c>
      <c r="G2833" s="11" t="s">
        <v>6</v>
      </c>
      <c r="H2833" s="13">
        <v>-1000</v>
      </c>
      <c r="I2833" s="14">
        <f t="shared" si="102"/>
        <v>0.49649539999999981</v>
      </c>
      <c r="J2833" s="13">
        <f t="shared" si="103"/>
        <v>84229.950000000012</v>
      </c>
    </row>
    <row r="2834" spans="1:10" x14ac:dyDescent="0.25">
      <c r="A2834" s="10">
        <v>40847</v>
      </c>
      <c r="B2834" s="11" t="s">
        <v>2</v>
      </c>
      <c r="C2834" s="11" t="s">
        <v>5</v>
      </c>
      <c r="D2834" s="16" t="str">
        <f>HYPERLINK("https://freddywills.com/pick/3573/chiefs-3-5.html", "Chiefs +3.5")</f>
        <v>Chiefs +3.5</v>
      </c>
      <c r="E2834" s="11">
        <v>4.4000000000000004</v>
      </c>
      <c r="F2834" s="11">
        <v>-1.1000000000000001</v>
      </c>
      <c r="G2834" s="11" t="s">
        <v>4</v>
      </c>
      <c r="H2834" s="13">
        <v>4000</v>
      </c>
      <c r="I2834" s="14">
        <f t="shared" si="102"/>
        <v>0.50649539999999982</v>
      </c>
      <c r="J2834" s="13">
        <f t="shared" si="103"/>
        <v>85229.950000000012</v>
      </c>
    </row>
    <row r="2835" spans="1:10" x14ac:dyDescent="0.25">
      <c r="A2835" s="10">
        <v>40846</v>
      </c>
      <c r="B2835" s="11" t="s">
        <v>2</v>
      </c>
      <c r="C2835" s="11" t="s">
        <v>5</v>
      </c>
      <c r="D2835" s="16" t="str">
        <f>HYPERLINK("https://freddywills.com/pick/3574/seahawks-2.html", "Seahawks +2")</f>
        <v>Seahawks +2</v>
      </c>
      <c r="E2835" s="11">
        <v>4.4000000000000004</v>
      </c>
      <c r="F2835" s="11">
        <v>-1.1000000000000001</v>
      </c>
      <c r="G2835" s="11" t="s">
        <v>6</v>
      </c>
      <c r="H2835" s="13">
        <v>-4400</v>
      </c>
      <c r="I2835" s="14">
        <f t="shared" si="102"/>
        <v>0.46649539999999984</v>
      </c>
      <c r="J2835" s="13">
        <f t="shared" si="103"/>
        <v>81229.950000000012</v>
      </c>
    </row>
    <row r="2836" spans="1:10" x14ac:dyDescent="0.25">
      <c r="A2836" s="10">
        <v>40846</v>
      </c>
      <c r="B2836" s="11" t="s">
        <v>2</v>
      </c>
      <c r="C2836" s="11" t="s">
        <v>5</v>
      </c>
      <c r="D2836" s="16" t="str">
        <f>HYPERLINK("https://freddywills.com/pick/3575/patriots-2-5.html", "Patriots -2.5")</f>
        <v>Patriots -2.5</v>
      </c>
      <c r="E2836" s="11">
        <v>5.5</v>
      </c>
      <c r="F2836" s="11">
        <v>-1.1000000000000001</v>
      </c>
      <c r="G2836" s="11" t="s">
        <v>6</v>
      </c>
      <c r="H2836" s="13">
        <v>-5500</v>
      </c>
      <c r="I2836" s="14">
        <f t="shared" si="102"/>
        <v>0.51049539999999982</v>
      </c>
      <c r="J2836" s="13">
        <f t="shared" si="103"/>
        <v>85629.950000000012</v>
      </c>
    </row>
    <row r="2837" spans="1:10" x14ac:dyDescent="0.25">
      <c r="A2837" s="10">
        <v>40846</v>
      </c>
      <c r="B2837" s="11" t="s">
        <v>2</v>
      </c>
      <c r="C2837" s="11" t="s">
        <v>5</v>
      </c>
      <c r="D2837" s="16" t="str">
        <f>HYPERLINK("https://freddywills.com/pick/3576/colts-9-amp-ml.html", "Colts +9 &amp;amp;ML")</f>
        <v>Colts +9 &amp;amp;ML</v>
      </c>
      <c r="E2837" s="11">
        <v>4.3</v>
      </c>
      <c r="F2837" s="11">
        <v>-1.1000000000000001</v>
      </c>
      <c r="G2837" s="11" t="s">
        <v>6</v>
      </c>
      <c r="H2837" s="13">
        <v>-4300</v>
      </c>
      <c r="I2837" s="14">
        <f t="shared" si="102"/>
        <v>0.56549539999999987</v>
      </c>
      <c r="J2837" s="13">
        <f t="shared" si="103"/>
        <v>91129.950000000012</v>
      </c>
    </row>
    <row r="2838" spans="1:10" x14ac:dyDescent="0.25">
      <c r="A2838" s="10">
        <v>40845</v>
      </c>
      <c r="B2838" s="11" t="s">
        <v>8</v>
      </c>
      <c r="C2838" s="11" t="s">
        <v>5</v>
      </c>
      <c r="D2838" s="16" t="str">
        <f>HYPERLINK("https://freddywills.com/pick/3577/arizona-4-5.html", "Arizona +4.5")</f>
        <v>Arizona +4.5</v>
      </c>
      <c r="E2838" s="11">
        <v>4.4000000000000004</v>
      </c>
      <c r="F2838" s="11">
        <v>-1.1000000000000001</v>
      </c>
      <c r="G2838" s="11" t="s">
        <v>6</v>
      </c>
      <c r="H2838" s="13">
        <v>-4400</v>
      </c>
      <c r="I2838" s="14">
        <f t="shared" si="102"/>
        <v>0.60849539999999991</v>
      </c>
      <c r="J2838" s="13">
        <f t="shared" si="103"/>
        <v>95429.950000000012</v>
      </c>
    </row>
    <row r="2839" spans="1:10" x14ac:dyDescent="0.25">
      <c r="A2839" s="10">
        <v>40845</v>
      </c>
      <c r="B2839" s="11" t="s">
        <v>8</v>
      </c>
      <c r="C2839" s="11" t="s">
        <v>5</v>
      </c>
      <c r="D2839" s="16" t="str">
        <f>HYPERLINK("https://freddywills.com/pick/3578/usc-8.html", "USC +8")</f>
        <v>USC +8</v>
      </c>
      <c r="E2839" s="11">
        <v>4.4000000000000004</v>
      </c>
      <c r="F2839" s="11">
        <v>-1.1000000000000001</v>
      </c>
      <c r="G2839" s="11" t="s">
        <v>9</v>
      </c>
      <c r="H2839" s="13">
        <v>0</v>
      </c>
      <c r="I2839" s="14">
        <f t="shared" si="102"/>
        <v>0.65249539999999995</v>
      </c>
      <c r="J2839" s="13">
        <f t="shared" si="103"/>
        <v>99829.950000000012</v>
      </c>
    </row>
    <row r="2840" spans="1:10" x14ac:dyDescent="0.25">
      <c r="A2840" s="10">
        <v>40845</v>
      </c>
      <c r="B2840" s="11" t="s">
        <v>8</v>
      </c>
      <c r="C2840" s="11" t="s">
        <v>5</v>
      </c>
      <c r="D2840" s="16" t="str">
        <f>HYPERLINK("https://freddywills.com/pick/3579/ucla-5.html", "UCLA +5")</f>
        <v>UCLA +5</v>
      </c>
      <c r="E2840" s="11">
        <v>2.2000000000000002</v>
      </c>
      <c r="F2840" s="11">
        <v>-1.1000000000000001</v>
      </c>
      <c r="G2840" s="11" t="s">
        <v>4</v>
      </c>
      <c r="H2840" s="13">
        <v>2000</v>
      </c>
      <c r="I2840" s="14">
        <f t="shared" ref="I2840:I2903" si="104">(H2840/100000)+I2841</f>
        <v>0.65249539999999995</v>
      </c>
      <c r="J2840" s="13">
        <f t="shared" ref="J2840:J2903" si="105">H2840+J2841</f>
        <v>99829.950000000012</v>
      </c>
    </row>
    <row r="2841" spans="1:10" x14ac:dyDescent="0.25">
      <c r="A2841" s="10">
        <v>40845</v>
      </c>
      <c r="B2841" s="11" t="s">
        <v>8</v>
      </c>
      <c r="C2841" s="11" t="s">
        <v>5</v>
      </c>
      <c r="D2841" s="16" t="str">
        <f>HYPERLINK("https://freddywills.com/pick/3580/boston-college-8.html", "Boston College +8")</f>
        <v>Boston College +8</v>
      </c>
      <c r="E2841" s="11">
        <v>4</v>
      </c>
      <c r="F2841" s="11">
        <v>-1.1000000000000001</v>
      </c>
      <c r="G2841" s="11" t="s">
        <v>4</v>
      </c>
      <c r="H2841" s="13">
        <v>3636.36</v>
      </c>
      <c r="I2841" s="14">
        <f t="shared" si="104"/>
        <v>0.63249539999999993</v>
      </c>
      <c r="J2841" s="13">
        <f t="shared" si="105"/>
        <v>97829.950000000012</v>
      </c>
    </row>
    <row r="2842" spans="1:10" x14ac:dyDescent="0.25">
      <c r="A2842" s="10">
        <v>40845</v>
      </c>
      <c r="B2842" s="11" t="s">
        <v>8</v>
      </c>
      <c r="C2842" s="11" t="s">
        <v>5</v>
      </c>
      <c r="D2842" s="16" t="str">
        <f>HYPERLINK("https://freddywills.com/pick/3581/utep-10.html", "UTEP +10")</f>
        <v>UTEP +10</v>
      </c>
      <c r="E2842" s="11">
        <v>3.3</v>
      </c>
      <c r="F2842" s="11">
        <v>-1.1000000000000001</v>
      </c>
      <c r="G2842" s="11" t="s">
        <v>6</v>
      </c>
      <c r="H2842" s="13">
        <v>-3300</v>
      </c>
      <c r="I2842" s="14">
        <f t="shared" si="104"/>
        <v>0.59613179999999988</v>
      </c>
      <c r="J2842" s="13">
        <f t="shared" si="105"/>
        <v>94193.590000000011</v>
      </c>
    </row>
    <row r="2843" spans="1:10" x14ac:dyDescent="0.25">
      <c r="A2843" s="10">
        <v>40845</v>
      </c>
      <c r="B2843" s="11" t="s">
        <v>8</v>
      </c>
      <c r="C2843" s="11" t="s">
        <v>5</v>
      </c>
      <c r="D2843" s="16" t="str">
        <f>HYPERLINK("https://freddywills.com/pick/3582/utep-320.html", "UTEP +320")</f>
        <v>UTEP +320</v>
      </c>
      <c r="E2843" s="11">
        <v>1</v>
      </c>
      <c r="F2843" s="11">
        <v>3.2</v>
      </c>
      <c r="G2843" s="11" t="s">
        <v>6</v>
      </c>
      <c r="H2843" s="13">
        <v>-1000</v>
      </c>
      <c r="I2843" s="14">
        <f t="shared" si="104"/>
        <v>0.62913179999999991</v>
      </c>
      <c r="J2843" s="13">
        <f t="shared" si="105"/>
        <v>97493.590000000011</v>
      </c>
    </row>
    <row r="2844" spans="1:10" x14ac:dyDescent="0.25">
      <c r="A2844" s="10">
        <v>40845</v>
      </c>
      <c r="B2844" s="11" t="s">
        <v>8</v>
      </c>
      <c r="C2844" s="11" t="s">
        <v>5</v>
      </c>
      <c r="D2844" s="16" t="str">
        <f>HYPERLINK("https://freddywills.com/pick/3583/mich-st-4.html", "Mich St +4")</f>
        <v>Mich St +4</v>
      </c>
      <c r="E2844" s="11">
        <v>5.5</v>
      </c>
      <c r="F2844" s="11">
        <v>-1.1000000000000001</v>
      </c>
      <c r="G2844" s="11" t="s">
        <v>6</v>
      </c>
      <c r="H2844" s="13">
        <v>-5500</v>
      </c>
      <c r="I2844" s="14">
        <f t="shared" si="104"/>
        <v>0.63913179999999992</v>
      </c>
      <c r="J2844" s="13">
        <f t="shared" si="105"/>
        <v>98493.590000000011</v>
      </c>
    </row>
    <row r="2845" spans="1:10" x14ac:dyDescent="0.25">
      <c r="A2845" s="10">
        <v>40845</v>
      </c>
      <c r="B2845" s="11" t="s">
        <v>8</v>
      </c>
      <c r="C2845" s="11" t="s">
        <v>5</v>
      </c>
      <c r="D2845" s="16" t="str">
        <f>HYPERLINK("https://freddywills.com/pick/3584/kent-st-4.html", "Kent St +4")</f>
        <v>Kent St +4</v>
      </c>
      <c r="E2845" s="11">
        <v>3.3</v>
      </c>
      <c r="F2845" s="11">
        <v>-1.1000000000000001</v>
      </c>
      <c r="G2845" s="11" t="s">
        <v>4</v>
      </c>
      <c r="H2845" s="13">
        <v>3000</v>
      </c>
      <c r="I2845" s="14">
        <f t="shared" si="104"/>
        <v>0.69413179999999997</v>
      </c>
      <c r="J2845" s="13">
        <f t="shared" si="105"/>
        <v>103993.59000000001</v>
      </c>
    </row>
    <row r="2846" spans="1:10" x14ac:dyDescent="0.25">
      <c r="A2846" s="10">
        <v>40845</v>
      </c>
      <c r="B2846" s="11" t="s">
        <v>8</v>
      </c>
      <c r="C2846" s="11" t="s">
        <v>18</v>
      </c>
      <c r="D2846" s="16" t="str">
        <f>HYPERLINK("https://freddywills.com/pick/3585/kent-st-155.html", "Kent St +155")</f>
        <v>Kent St +155</v>
      </c>
      <c r="E2846" s="11">
        <v>1</v>
      </c>
      <c r="F2846" s="11">
        <v>1.55</v>
      </c>
      <c r="G2846" s="11" t="s">
        <v>4</v>
      </c>
      <c r="H2846" s="13">
        <v>1550</v>
      </c>
      <c r="I2846" s="14">
        <f t="shared" si="104"/>
        <v>0.66413179999999994</v>
      </c>
      <c r="J2846" s="13">
        <f t="shared" si="105"/>
        <v>100993.59000000001</v>
      </c>
    </row>
    <row r="2847" spans="1:10" x14ac:dyDescent="0.25">
      <c r="A2847" s="10">
        <v>40844</v>
      </c>
      <c r="B2847" s="11" t="s">
        <v>8</v>
      </c>
      <c r="C2847" s="11" t="s">
        <v>5</v>
      </c>
      <c r="D2847" s="16" t="str">
        <f>HYPERLINK("https://freddywills.com/pick/3586/byu-14-120.html", "BYU +14 -120")</f>
        <v>BYU +14 -120</v>
      </c>
      <c r="E2847" s="11">
        <v>4.5</v>
      </c>
      <c r="F2847" s="11">
        <v>-1.2</v>
      </c>
      <c r="G2847" s="11" t="s">
        <v>4</v>
      </c>
      <c r="H2847" s="13">
        <v>3750</v>
      </c>
      <c r="I2847" s="14">
        <f t="shared" si="104"/>
        <v>0.64863179999999998</v>
      </c>
      <c r="J2847" s="13">
        <f t="shared" si="105"/>
        <v>99443.590000000011</v>
      </c>
    </row>
    <row r="2848" spans="1:10" x14ac:dyDescent="0.25">
      <c r="A2848" s="10">
        <v>40843</v>
      </c>
      <c r="B2848" s="11" t="s">
        <v>8</v>
      </c>
      <c r="C2848" s="11" t="s">
        <v>5</v>
      </c>
      <c r="D2848" s="16" t="str">
        <f>HYPERLINK("https://freddywills.com/pick/3588/miami-13-5.html", "Miami -13.5")</f>
        <v>Miami -13.5</v>
      </c>
      <c r="E2848" s="11">
        <v>4</v>
      </c>
      <c r="F2848" s="11">
        <v>-1.1000000000000001</v>
      </c>
      <c r="G2848" s="11" t="s">
        <v>6</v>
      </c>
      <c r="H2848" s="13">
        <v>-4000</v>
      </c>
      <c r="I2848" s="14">
        <f t="shared" si="104"/>
        <v>0.6111318</v>
      </c>
      <c r="J2848" s="13">
        <f t="shared" si="105"/>
        <v>95693.590000000011</v>
      </c>
    </row>
    <row r="2849" spans="1:10" x14ac:dyDescent="0.25">
      <c r="A2849" s="10">
        <v>40842</v>
      </c>
      <c r="B2849" s="11" t="s">
        <v>8</v>
      </c>
      <c r="C2849" s="11" t="s">
        <v>5</v>
      </c>
      <c r="D2849" s="16" t="str">
        <f>HYPERLINK("https://freddywills.com/pick/3590/uconn-10-5.html", "Uconn +10.5")</f>
        <v>Uconn +10.5</v>
      </c>
      <c r="E2849" s="11">
        <v>4.4000000000000004</v>
      </c>
      <c r="F2849" s="11">
        <v>-1.1000000000000001</v>
      </c>
      <c r="G2849" s="11" t="s">
        <v>6</v>
      </c>
      <c r="H2849" s="13">
        <v>-4400</v>
      </c>
      <c r="I2849" s="14">
        <f t="shared" si="104"/>
        <v>0.65113180000000004</v>
      </c>
      <c r="J2849" s="13">
        <f t="shared" si="105"/>
        <v>99693.590000000011</v>
      </c>
    </row>
    <row r="2850" spans="1:10" x14ac:dyDescent="0.25">
      <c r="A2850" s="10">
        <v>40841</v>
      </c>
      <c r="B2850" s="11" t="s">
        <v>8</v>
      </c>
      <c r="C2850" s="11" t="s">
        <v>5</v>
      </c>
      <c r="D2850" s="16" t="str">
        <f>HYPERLINK("https://freddywills.com/pick/3591/troy-7-5-120.html", "Troy +7.5 -120")</f>
        <v>Troy +7.5 -120</v>
      </c>
      <c r="E2850" s="11">
        <v>4.5</v>
      </c>
      <c r="F2850" s="11">
        <v>-1.2</v>
      </c>
      <c r="G2850" s="11" t="s">
        <v>4</v>
      </c>
      <c r="H2850" s="13">
        <v>3750</v>
      </c>
      <c r="I2850" s="14">
        <f t="shared" si="104"/>
        <v>0.69513180000000008</v>
      </c>
      <c r="J2850" s="13">
        <f t="shared" si="105"/>
        <v>104093.59000000001</v>
      </c>
    </row>
    <row r="2851" spans="1:10" x14ac:dyDescent="0.25">
      <c r="A2851" s="10">
        <v>40840</v>
      </c>
      <c r="B2851" s="11" t="s">
        <v>2</v>
      </c>
      <c r="C2851" s="11" t="s">
        <v>10</v>
      </c>
      <c r="D2851" s="16" t="str">
        <f>HYPERLINK("https://freddywills.com/pick/3592/ravens-4-u45.html", "Ravens -4 U45")</f>
        <v>Ravens -4 U45</v>
      </c>
      <c r="E2851" s="11">
        <v>4.4000000000000004</v>
      </c>
      <c r="F2851" s="11">
        <v>-1.1000000000000001</v>
      </c>
      <c r="G2851" s="11" t="s">
        <v>6</v>
      </c>
      <c r="H2851" s="13">
        <v>-4400</v>
      </c>
      <c r="I2851" s="14">
        <f t="shared" si="104"/>
        <v>0.6576318000000001</v>
      </c>
      <c r="J2851" s="13">
        <f t="shared" si="105"/>
        <v>100343.59000000001</v>
      </c>
    </row>
    <row r="2852" spans="1:10" x14ac:dyDescent="0.25">
      <c r="A2852" s="10">
        <v>40839</v>
      </c>
      <c r="B2852" s="11" t="s">
        <v>2</v>
      </c>
      <c r="C2852" s="11" t="s">
        <v>5</v>
      </c>
      <c r="D2852" s="16" t="str">
        <f>HYPERLINK("https://freddywills.com/pick/3594/falcons-4.html", "Falcons +4")</f>
        <v>Falcons +4</v>
      </c>
      <c r="E2852" s="11">
        <v>4.4000000000000004</v>
      </c>
      <c r="F2852" s="11">
        <v>-1.1000000000000001</v>
      </c>
      <c r="G2852" s="11" t="s">
        <v>4</v>
      </c>
      <c r="H2852" s="13">
        <v>4000</v>
      </c>
      <c r="I2852" s="14">
        <f t="shared" si="104"/>
        <v>0.70163180000000014</v>
      </c>
      <c r="J2852" s="13">
        <f t="shared" si="105"/>
        <v>104743.59000000001</v>
      </c>
    </row>
    <row r="2853" spans="1:10" x14ac:dyDescent="0.25">
      <c r="A2853" s="10">
        <v>40839</v>
      </c>
      <c r="B2853" s="11" t="s">
        <v>2</v>
      </c>
      <c r="C2853" s="11" t="s">
        <v>10</v>
      </c>
      <c r="D2853" s="16" t="str">
        <f>HYPERLINK("https://freddywills.com/pick/3595/redskins-8-5-u50.html", "Redskins +8.5 U50")</f>
        <v>Redskins +8.5 U50</v>
      </c>
      <c r="E2853" s="11">
        <v>3.3</v>
      </c>
      <c r="F2853" s="11">
        <v>-1.1000000000000001</v>
      </c>
      <c r="G2853" s="11" t="s">
        <v>6</v>
      </c>
      <c r="H2853" s="13">
        <v>-3300</v>
      </c>
      <c r="I2853" s="14">
        <f t="shared" si="104"/>
        <v>0.6616318000000001</v>
      </c>
      <c r="J2853" s="13">
        <f t="shared" si="105"/>
        <v>100743.59000000001</v>
      </c>
    </row>
    <row r="2854" spans="1:10" x14ac:dyDescent="0.25">
      <c r="A2854" s="10">
        <v>40839</v>
      </c>
      <c r="B2854" s="11" t="s">
        <v>2</v>
      </c>
      <c r="C2854" s="11" t="s">
        <v>5</v>
      </c>
      <c r="D2854" s="16" t="str">
        <f>HYPERLINK("https://freddywills.com/pick/3596/bears-1.html", "Bears -1")</f>
        <v>Bears -1</v>
      </c>
      <c r="E2854" s="11">
        <v>5.5</v>
      </c>
      <c r="F2854" s="11">
        <v>-1.1000000000000001</v>
      </c>
      <c r="G2854" s="11" t="s">
        <v>4</v>
      </c>
      <c r="H2854" s="13">
        <v>5000</v>
      </c>
      <c r="I2854" s="14">
        <f t="shared" si="104"/>
        <v>0.69463180000000013</v>
      </c>
      <c r="J2854" s="13">
        <f t="shared" si="105"/>
        <v>104043.59000000001</v>
      </c>
    </row>
    <row r="2855" spans="1:10" x14ac:dyDescent="0.25">
      <c r="A2855" s="10">
        <v>40839</v>
      </c>
      <c r="B2855" s="11" t="s">
        <v>2</v>
      </c>
      <c r="C2855" s="11" t="s">
        <v>5</v>
      </c>
      <c r="D2855" s="16" t="str">
        <f>HYPERLINK("https://freddywills.com/pick/3597/chiefs-4.html", "Chiefs +4")</f>
        <v>Chiefs +4</v>
      </c>
      <c r="E2855" s="11">
        <v>4</v>
      </c>
      <c r="F2855" s="11">
        <v>-1.1000000000000001</v>
      </c>
      <c r="G2855" s="11" t="s">
        <v>4</v>
      </c>
      <c r="H2855" s="13">
        <v>3636.36</v>
      </c>
      <c r="I2855" s="14">
        <f t="shared" si="104"/>
        <v>0.64463180000000009</v>
      </c>
      <c r="J2855" s="13">
        <f t="shared" si="105"/>
        <v>99043.590000000011</v>
      </c>
    </row>
    <row r="2856" spans="1:10" x14ac:dyDescent="0.25">
      <c r="A2856" s="10">
        <v>40839</v>
      </c>
      <c r="B2856" s="11" t="s">
        <v>2</v>
      </c>
      <c r="C2856" s="11" t="s">
        <v>5</v>
      </c>
      <c r="D2856" s="16" t="str">
        <f>HYPERLINK("https://freddywills.com/pick/3598/redskins-3.html", "Redskins +3")</f>
        <v>Redskins +3</v>
      </c>
      <c r="E2856" s="11">
        <v>1.1000000000000001</v>
      </c>
      <c r="F2856" s="11">
        <v>-1.1000000000000001</v>
      </c>
      <c r="G2856" s="11" t="s">
        <v>6</v>
      </c>
      <c r="H2856" s="13">
        <v>-1100</v>
      </c>
      <c r="I2856" s="14">
        <f t="shared" si="104"/>
        <v>0.60826820000000004</v>
      </c>
      <c r="J2856" s="13">
        <f t="shared" si="105"/>
        <v>95407.23000000001</v>
      </c>
    </row>
    <row r="2857" spans="1:10" x14ac:dyDescent="0.25">
      <c r="A2857" s="10">
        <v>40838</v>
      </c>
      <c r="B2857" s="11" t="s">
        <v>8</v>
      </c>
      <c r="C2857" s="11" t="s">
        <v>5</v>
      </c>
      <c r="D2857" s="16" t="str">
        <f>HYPERLINK("https://freddywills.com/pick/3601/nwest-4-5.html", "Nwest +4.5")</f>
        <v>Nwest +4.5</v>
      </c>
      <c r="E2857" s="11">
        <v>5.5</v>
      </c>
      <c r="F2857" s="11">
        <v>-1.1000000000000001</v>
      </c>
      <c r="G2857" s="11" t="s">
        <v>6</v>
      </c>
      <c r="H2857" s="13">
        <v>-5500</v>
      </c>
      <c r="I2857" s="14">
        <f t="shared" si="104"/>
        <v>0.61926820000000005</v>
      </c>
      <c r="J2857" s="13">
        <f t="shared" si="105"/>
        <v>96507.23000000001</v>
      </c>
    </row>
    <row r="2858" spans="1:10" x14ac:dyDescent="0.25">
      <c r="A2858" s="10">
        <v>40838</v>
      </c>
      <c r="B2858" s="11" t="s">
        <v>8</v>
      </c>
      <c r="C2858" s="11" t="s">
        <v>5</v>
      </c>
      <c r="D2858" s="16" t="str">
        <f>HYPERLINK("https://freddywills.com/pick/3602/smu-3-5.html", "SMU +3.5")</f>
        <v>SMU +3.5</v>
      </c>
      <c r="E2858" s="11">
        <v>3.5</v>
      </c>
      <c r="F2858" s="11">
        <v>-1.1000000000000001</v>
      </c>
      <c r="G2858" s="11" t="s">
        <v>6</v>
      </c>
      <c r="H2858" s="13">
        <v>-3500</v>
      </c>
      <c r="I2858" s="14">
        <f t="shared" si="104"/>
        <v>0.6742682000000001</v>
      </c>
      <c r="J2858" s="13">
        <f t="shared" si="105"/>
        <v>102007.23000000001</v>
      </c>
    </row>
    <row r="2859" spans="1:10" x14ac:dyDescent="0.25">
      <c r="A2859" s="10">
        <v>40838</v>
      </c>
      <c r="B2859" s="11" t="s">
        <v>8</v>
      </c>
      <c r="C2859" s="11" t="s">
        <v>5</v>
      </c>
      <c r="D2859" s="16" t="str">
        <f>HYPERLINK("https://freddywills.com/pick/3603/nevada-11-5.html", "Nevada -11.5")</f>
        <v>Nevada -11.5</v>
      </c>
      <c r="E2859" s="11">
        <v>1.1000000000000001</v>
      </c>
      <c r="F2859" s="11">
        <v>-1.1000000000000001</v>
      </c>
      <c r="G2859" s="11" t="s">
        <v>6</v>
      </c>
      <c r="H2859" s="13">
        <v>-1100</v>
      </c>
      <c r="I2859" s="14">
        <f t="shared" si="104"/>
        <v>0.70926820000000013</v>
      </c>
      <c r="J2859" s="13">
        <f t="shared" si="105"/>
        <v>105507.23000000001</v>
      </c>
    </row>
    <row r="2860" spans="1:10" x14ac:dyDescent="0.25">
      <c r="A2860" s="10">
        <v>40838</v>
      </c>
      <c r="B2860" s="11" t="s">
        <v>8</v>
      </c>
      <c r="C2860" s="11" t="s">
        <v>5</v>
      </c>
      <c r="D2860" s="16" t="str">
        <f>HYPERLINK("https://freddywills.com/pick/3604/la-tech-7-120.html", "La Tech +7 -120")</f>
        <v>La Tech +7 -120</v>
      </c>
      <c r="E2860" s="11">
        <v>4</v>
      </c>
      <c r="F2860" s="11">
        <v>-1.2</v>
      </c>
      <c r="G2860" s="11" t="s">
        <v>4</v>
      </c>
      <c r="H2860" s="13">
        <v>3333.33</v>
      </c>
      <c r="I2860" s="14">
        <f t="shared" si="104"/>
        <v>0.72026820000000014</v>
      </c>
      <c r="J2860" s="13">
        <f t="shared" si="105"/>
        <v>106607.23000000001</v>
      </c>
    </row>
    <row r="2861" spans="1:10" x14ac:dyDescent="0.25">
      <c r="A2861" s="10">
        <v>40838</v>
      </c>
      <c r="B2861" s="11" t="s">
        <v>8</v>
      </c>
      <c r="C2861" s="11" t="s">
        <v>18</v>
      </c>
      <c r="D2861" s="16" t="str">
        <f>HYPERLINK("https://freddywills.com/pick/3605/la-tech-7-205.html", "La Tech +7 +205")</f>
        <v>La Tech +7 +205</v>
      </c>
      <c r="E2861" s="11">
        <v>2</v>
      </c>
      <c r="F2861" s="11">
        <v>2.0499999999999998</v>
      </c>
      <c r="G2861" s="11" t="s">
        <v>4</v>
      </c>
      <c r="H2861" s="13">
        <v>4100</v>
      </c>
      <c r="I2861" s="14">
        <f t="shared" si="104"/>
        <v>0.68693490000000013</v>
      </c>
      <c r="J2861" s="13">
        <f t="shared" si="105"/>
        <v>103273.90000000001</v>
      </c>
    </row>
    <row r="2862" spans="1:10" x14ac:dyDescent="0.25">
      <c r="A2862" s="10">
        <v>40838</v>
      </c>
      <c r="B2862" s="11" t="s">
        <v>8</v>
      </c>
      <c r="C2862" s="11" t="s">
        <v>5</v>
      </c>
      <c r="D2862" s="16" t="str">
        <f>HYPERLINK("https://freddywills.com/pick/3606/purdue-4.html", "Purdue +4")</f>
        <v>Purdue +4</v>
      </c>
      <c r="E2862" s="11">
        <v>3.3</v>
      </c>
      <c r="F2862" s="11">
        <v>-1.1000000000000001</v>
      </c>
      <c r="G2862" s="11" t="s">
        <v>4</v>
      </c>
      <c r="H2862" s="13">
        <v>3000</v>
      </c>
      <c r="I2862" s="14">
        <f t="shared" si="104"/>
        <v>0.64593490000000009</v>
      </c>
      <c r="J2862" s="13">
        <f t="shared" si="105"/>
        <v>99173.900000000009</v>
      </c>
    </row>
    <row r="2863" spans="1:10" x14ac:dyDescent="0.25">
      <c r="A2863" s="10">
        <v>40838</v>
      </c>
      <c r="B2863" s="11" t="s">
        <v>8</v>
      </c>
      <c r="C2863" s="11" t="s">
        <v>5</v>
      </c>
      <c r="D2863" s="16" t="str">
        <f>HYPERLINK("https://freddywills.com/pick/3607/emich-12.html", "Emich +12")</f>
        <v>Emich +12</v>
      </c>
      <c r="E2863" s="11">
        <v>4</v>
      </c>
      <c r="F2863" s="11">
        <v>-1.1000000000000001</v>
      </c>
      <c r="G2863" s="11" t="s">
        <v>4</v>
      </c>
      <c r="H2863" s="13">
        <v>3636.36</v>
      </c>
      <c r="I2863" s="14">
        <f t="shared" si="104"/>
        <v>0.61593490000000006</v>
      </c>
      <c r="J2863" s="13">
        <f t="shared" si="105"/>
        <v>96173.900000000009</v>
      </c>
    </row>
    <row r="2864" spans="1:10" x14ac:dyDescent="0.25">
      <c r="A2864" s="10">
        <v>40838</v>
      </c>
      <c r="B2864" s="11" t="s">
        <v>8</v>
      </c>
      <c r="C2864" s="11" t="s">
        <v>18</v>
      </c>
      <c r="D2864" s="16" t="str">
        <f>HYPERLINK("https://freddywills.com/pick/3608/emich-380.html", "Emich +380")</f>
        <v>Emich +380</v>
      </c>
      <c r="E2864" s="11">
        <v>1</v>
      </c>
      <c r="F2864" s="11">
        <v>3.8</v>
      </c>
      <c r="G2864" s="11" t="s">
        <v>4</v>
      </c>
      <c r="H2864" s="13">
        <v>3800</v>
      </c>
      <c r="I2864" s="14">
        <f t="shared" si="104"/>
        <v>0.57957130000000001</v>
      </c>
      <c r="J2864" s="13">
        <f t="shared" si="105"/>
        <v>92537.540000000008</v>
      </c>
    </row>
    <row r="2865" spans="1:10" x14ac:dyDescent="0.25">
      <c r="A2865" s="10">
        <v>40838</v>
      </c>
      <c r="B2865" s="11" t="s">
        <v>8</v>
      </c>
      <c r="C2865" s="11" t="s">
        <v>5</v>
      </c>
      <c r="D2865" s="16" t="str">
        <f>HYPERLINK("https://freddywills.com/pick/3609/houston-22-5.html", "Houston -22.5")</f>
        <v>Houston -22.5</v>
      </c>
      <c r="E2865" s="11">
        <v>3.3</v>
      </c>
      <c r="F2865" s="11">
        <v>-1.1000000000000001</v>
      </c>
      <c r="G2865" s="11" t="s">
        <v>4</v>
      </c>
      <c r="H2865" s="13">
        <v>3000</v>
      </c>
      <c r="I2865" s="14">
        <f t="shared" si="104"/>
        <v>0.54157129999999998</v>
      </c>
      <c r="J2865" s="13">
        <f t="shared" si="105"/>
        <v>88737.540000000008</v>
      </c>
    </row>
    <row r="2866" spans="1:10" x14ac:dyDescent="0.25">
      <c r="A2866" s="10">
        <v>40837</v>
      </c>
      <c r="B2866" s="11" t="s">
        <v>8</v>
      </c>
      <c r="C2866" s="11" t="s">
        <v>5</v>
      </c>
      <c r="D2866" s="16" t="str">
        <f>HYPERLINK("https://freddywills.com/pick/3612/rutgers-2.html", "Rutgers +2")</f>
        <v>Rutgers +2</v>
      </c>
      <c r="E2866" s="11">
        <v>4.4000000000000004</v>
      </c>
      <c r="F2866" s="11">
        <v>-1.1000000000000001</v>
      </c>
      <c r="G2866" s="11" t="s">
        <v>9</v>
      </c>
      <c r="H2866" s="13">
        <v>0</v>
      </c>
      <c r="I2866" s="14">
        <f t="shared" si="104"/>
        <v>0.51157129999999995</v>
      </c>
      <c r="J2866" s="13">
        <f t="shared" si="105"/>
        <v>85737.540000000008</v>
      </c>
    </row>
    <row r="2867" spans="1:10" x14ac:dyDescent="0.25">
      <c r="A2867" s="10">
        <v>40837</v>
      </c>
      <c r="B2867" s="11" t="s">
        <v>8</v>
      </c>
      <c r="C2867" s="11" t="s">
        <v>10</v>
      </c>
      <c r="D2867" s="16" t="str">
        <f>HYPERLINK("https://freddywills.com/pick/3613/rutgers-8-u46.html", "Rutgers +8 U46")</f>
        <v>Rutgers +8 U46</v>
      </c>
      <c r="E2867" s="11">
        <v>2.2000000000000002</v>
      </c>
      <c r="F2867" s="11">
        <v>-1.1000000000000001</v>
      </c>
      <c r="G2867" s="11" t="s">
        <v>4</v>
      </c>
      <c r="H2867" s="13">
        <v>2000</v>
      </c>
      <c r="I2867" s="14">
        <f t="shared" si="104"/>
        <v>0.51157129999999995</v>
      </c>
      <c r="J2867" s="13">
        <f t="shared" si="105"/>
        <v>85737.540000000008</v>
      </c>
    </row>
    <row r="2868" spans="1:10" x14ac:dyDescent="0.25">
      <c r="A2868" s="10">
        <v>40836</v>
      </c>
      <c r="B2868" s="11" t="s">
        <v>8</v>
      </c>
      <c r="C2868" s="11" t="s">
        <v>5</v>
      </c>
      <c r="D2868" s="16" t="str">
        <f>HYPERLINK("https://freddywills.com/pick/3615/arizona-4.html", "Arizona -4")</f>
        <v>Arizona -4</v>
      </c>
      <c r="E2868" s="11">
        <v>4.4000000000000004</v>
      </c>
      <c r="F2868" s="11">
        <v>-1.1000000000000001</v>
      </c>
      <c r="G2868" s="11" t="s">
        <v>4</v>
      </c>
      <c r="H2868" s="13">
        <v>4000</v>
      </c>
      <c r="I2868" s="14">
        <f t="shared" si="104"/>
        <v>0.49157129999999999</v>
      </c>
      <c r="J2868" s="13">
        <f t="shared" si="105"/>
        <v>83737.540000000008</v>
      </c>
    </row>
    <row r="2869" spans="1:10" x14ac:dyDescent="0.25">
      <c r="A2869" s="10">
        <v>40834</v>
      </c>
      <c r="B2869" s="11" t="s">
        <v>8</v>
      </c>
      <c r="C2869" s="11" t="s">
        <v>5</v>
      </c>
      <c r="D2869" s="16" t="str">
        <f>HYPERLINK("https://freddywills.com/pick/3617/ark-st-3-108.html", "Ark St -3 -108")</f>
        <v>Ark St -3 -108</v>
      </c>
      <c r="E2869" s="11">
        <v>4.4000000000000004</v>
      </c>
      <c r="F2869" s="11">
        <v>-1.08</v>
      </c>
      <c r="G2869" s="11" t="s">
        <v>4</v>
      </c>
      <c r="H2869" s="13">
        <v>4074.07</v>
      </c>
      <c r="I2869" s="14">
        <f t="shared" si="104"/>
        <v>0.45157130000000001</v>
      </c>
      <c r="J2869" s="13">
        <f t="shared" si="105"/>
        <v>79737.540000000008</v>
      </c>
    </row>
    <row r="2870" spans="1:10" x14ac:dyDescent="0.25">
      <c r="A2870" s="10">
        <v>40832</v>
      </c>
      <c r="B2870" s="11" t="s">
        <v>2</v>
      </c>
      <c r="C2870" s="11" t="s">
        <v>10</v>
      </c>
      <c r="D2870" s="16" t="str">
        <f>HYPERLINK("https://freddywills.com/pick/3619/vikings-8-u47-5.html", "Vikings +8/U47.5")</f>
        <v>Vikings +8/U47.5</v>
      </c>
      <c r="E2870" s="11">
        <v>4.4000000000000004</v>
      </c>
      <c r="F2870" s="11">
        <v>-1.1000000000000001</v>
      </c>
      <c r="G2870" s="11" t="s">
        <v>6</v>
      </c>
      <c r="H2870" s="13">
        <v>-4400</v>
      </c>
      <c r="I2870" s="14">
        <f t="shared" si="104"/>
        <v>0.41083059999999999</v>
      </c>
      <c r="J2870" s="13">
        <f t="shared" si="105"/>
        <v>75663.47</v>
      </c>
    </row>
    <row r="2871" spans="1:10" x14ac:dyDescent="0.25">
      <c r="A2871" s="10">
        <v>40832</v>
      </c>
      <c r="B2871" s="11" t="s">
        <v>2</v>
      </c>
      <c r="C2871" s="11" t="s">
        <v>5</v>
      </c>
      <c r="D2871" s="16" t="str">
        <f>HYPERLINK("https://freddywills.com/pick/3620/browns-7.html", "Browns +7")</f>
        <v>Browns +7</v>
      </c>
      <c r="E2871" s="11">
        <v>3.3</v>
      </c>
      <c r="F2871" s="11">
        <v>-1.1000000000000001</v>
      </c>
      <c r="G2871" s="11" t="s">
        <v>9</v>
      </c>
      <c r="H2871" s="13">
        <v>0</v>
      </c>
      <c r="I2871" s="14">
        <f t="shared" si="104"/>
        <v>0.45483059999999997</v>
      </c>
      <c r="J2871" s="13">
        <f t="shared" si="105"/>
        <v>80063.47</v>
      </c>
    </row>
    <row r="2872" spans="1:10" x14ac:dyDescent="0.25">
      <c r="A2872" s="10">
        <v>40832</v>
      </c>
      <c r="B2872" s="11" t="s">
        <v>2</v>
      </c>
      <c r="C2872" s="11" t="s">
        <v>5</v>
      </c>
      <c r="D2872" s="16" t="str">
        <f>HYPERLINK("https://freddywills.com/pick/3621/49ers-5.html", "49ers +5")</f>
        <v>49ers +5</v>
      </c>
      <c r="E2872" s="11">
        <v>3.3</v>
      </c>
      <c r="F2872" s="11">
        <v>-1.1000000000000001</v>
      </c>
      <c r="G2872" s="11" t="s">
        <v>4</v>
      </c>
      <c r="H2872" s="13">
        <v>3000</v>
      </c>
      <c r="I2872" s="14">
        <f t="shared" si="104"/>
        <v>0.45483059999999997</v>
      </c>
      <c r="J2872" s="13">
        <f t="shared" si="105"/>
        <v>80063.47</v>
      </c>
    </row>
    <row r="2873" spans="1:10" x14ac:dyDescent="0.25">
      <c r="A2873" s="10">
        <v>40832</v>
      </c>
      <c r="B2873" s="11" t="s">
        <v>2</v>
      </c>
      <c r="C2873" s="11" t="s">
        <v>5</v>
      </c>
      <c r="D2873" s="16" t="str">
        <f>HYPERLINK("https://freddywills.com/pick/3622/colts-7-120-wow.html", "Colts +7 -120 WOW")</f>
        <v>Colts +7 -120 WOW</v>
      </c>
      <c r="E2873" s="11">
        <v>4</v>
      </c>
      <c r="F2873" s="11">
        <v>-1.2</v>
      </c>
      <c r="G2873" s="11" t="s">
        <v>6</v>
      </c>
      <c r="H2873" s="13">
        <v>-4000</v>
      </c>
      <c r="I2873" s="14">
        <f t="shared" si="104"/>
        <v>0.4248306</v>
      </c>
      <c r="J2873" s="13">
        <f t="shared" si="105"/>
        <v>77063.47</v>
      </c>
    </row>
    <row r="2874" spans="1:10" x14ac:dyDescent="0.25">
      <c r="A2874" s="10">
        <v>40832</v>
      </c>
      <c r="B2874" s="11" t="s">
        <v>2</v>
      </c>
      <c r="C2874" s="11" t="s">
        <v>5</v>
      </c>
      <c r="D2874" s="16" t="str">
        <f>HYPERLINK("https://freddywills.com/pick/3623/falcons-3-120.html", "Falcons -3 -120")</f>
        <v>Falcons -3 -120</v>
      </c>
      <c r="E2874" s="11">
        <v>5.5</v>
      </c>
      <c r="F2874" s="11">
        <v>-1.2</v>
      </c>
      <c r="G2874" s="11" t="s">
        <v>4</v>
      </c>
      <c r="H2874" s="13">
        <v>4583.33</v>
      </c>
      <c r="I2874" s="14">
        <f t="shared" si="104"/>
        <v>0.46483059999999998</v>
      </c>
      <c r="J2874" s="13">
        <f t="shared" si="105"/>
        <v>81063.47</v>
      </c>
    </row>
    <row r="2875" spans="1:10" x14ac:dyDescent="0.25">
      <c r="A2875" s="10">
        <v>40831</v>
      </c>
      <c r="B2875" s="11" t="s">
        <v>8</v>
      </c>
      <c r="C2875" s="11" t="s">
        <v>5</v>
      </c>
      <c r="D2875" s="16" t="str">
        <f>HYPERLINK("https://freddywills.com/pick/3624/mich-st-2.html", "Mich St -2")</f>
        <v>Mich St -2</v>
      </c>
      <c r="E2875" s="11">
        <v>5.5</v>
      </c>
      <c r="F2875" s="11">
        <v>-1.1000000000000001</v>
      </c>
      <c r="G2875" s="11" t="s">
        <v>4</v>
      </c>
      <c r="H2875" s="13">
        <v>5000</v>
      </c>
      <c r="I2875" s="14">
        <f t="shared" si="104"/>
        <v>0.41899729999999996</v>
      </c>
      <c r="J2875" s="13">
        <f t="shared" si="105"/>
        <v>76480.14</v>
      </c>
    </row>
    <row r="2876" spans="1:10" x14ac:dyDescent="0.25">
      <c r="A2876" s="10">
        <v>40831</v>
      </c>
      <c r="B2876" s="11" t="s">
        <v>8</v>
      </c>
      <c r="C2876" s="11" t="s">
        <v>5</v>
      </c>
      <c r="D2876" s="16" t="str">
        <f>HYPERLINK("https://freddywills.com/pick/3625/buff-21-5.html", "Buff +21.5")</f>
        <v>Buff +21.5</v>
      </c>
      <c r="E2876" s="11">
        <v>3.5</v>
      </c>
      <c r="F2876" s="11">
        <v>-1.1000000000000001</v>
      </c>
      <c r="G2876" s="11" t="s">
        <v>6</v>
      </c>
      <c r="H2876" s="13">
        <v>-3500</v>
      </c>
      <c r="I2876" s="14">
        <f t="shared" si="104"/>
        <v>0.36899729999999997</v>
      </c>
      <c r="J2876" s="13">
        <f t="shared" si="105"/>
        <v>71480.14</v>
      </c>
    </row>
    <row r="2877" spans="1:10" x14ac:dyDescent="0.25">
      <c r="A2877" s="10">
        <v>40831</v>
      </c>
      <c r="B2877" s="11" t="s">
        <v>8</v>
      </c>
      <c r="C2877" s="11" t="s">
        <v>5</v>
      </c>
      <c r="D2877" s="16" t="str">
        <f>HYPERLINK("https://freddywills.com/pick/3626/ucf-3-5.html", "UCF +3.5")</f>
        <v>UCF +3.5</v>
      </c>
      <c r="E2877" s="11">
        <v>1.1000000000000001</v>
      </c>
      <c r="F2877" s="11">
        <v>-1.1000000000000001</v>
      </c>
      <c r="G2877" s="11" t="s">
        <v>6</v>
      </c>
      <c r="H2877" s="13">
        <v>-1100</v>
      </c>
      <c r="I2877" s="14">
        <f t="shared" si="104"/>
        <v>0.4039973</v>
      </c>
      <c r="J2877" s="13">
        <f t="shared" si="105"/>
        <v>74980.14</v>
      </c>
    </row>
    <row r="2878" spans="1:10" x14ac:dyDescent="0.25">
      <c r="A2878" s="10">
        <v>40831</v>
      </c>
      <c r="B2878" s="11" t="s">
        <v>8</v>
      </c>
      <c r="C2878" s="11" t="s">
        <v>5</v>
      </c>
      <c r="D2878" s="16" t="str">
        <f>HYPERLINK("https://freddywills.com/pick/3627/oreg-st-2-5-120.html", "Oreg St -2.5 -120")</f>
        <v>Oreg St -2.5 -120</v>
      </c>
      <c r="E2878" s="11">
        <v>4</v>
      </c>
      <c r="F2878" s="11">
        <v>-1.2</v>
      </c>
      <c r="G2878" s="11" t="s">
        <v>6</v>
      </c>
      <c r="H2878" s="13">
        <v>-4000</v>
      </c>
      <c r="I2878" s="14">
        <f t="shared" si="104"/>
        <v>0.41499730000000001</v>
      </c>
      <c r="J2878" s="13">
        <f t="shared" si="105"/>
        <v>76080.14</v>
      </c>
    </row>
    <row r="2879" spans="1:10" x14ac:dyDescent="0.25">
      <c r="A2879" s="10">
        <v>40831</v>
      </c>
      <c r="B2879" s="11" t="s">
        <v>8</v>
      </c>
      <c r="C2879" s="11" t="s">
        <v>5</v>
      </c>
      <c r="D2879" s="16" t="str">
        <f>HYPERLINK("https://freddywills.com/pick/3628/florida-2.html", "Florida -2")</f>
        <v>Florida -2</v>
      </c>
      <c r="E2879" s="11">
        <v>5</v>
      </c>
      <c r="F2879" s="11">
        <v>-1.1000000000000001</v>
      </c>
      <c r="G2879" s="11" t="s">
        <v>6</v>
      </c>
      <c r="H2879" s="13">
        <v>-5000</v>
      </c>
      <c r="I2879" s="14">
        <f t="shared" si="104"/>
        <v>0.45499729999999999</v>
      </c>
      <c r="J2879" s="13">
        <f t="shared" si="105"/>
        <v>80080.14</v>
      </c>
    </row>
    <row r="2880" spans="1:10" x14ac:dyDescent="0.25">
      <c r="A2880" s="10">
        <v>40831</v>
      </c>
      <c r="B2880" s="11" t="s">
        <v>8</v>
      </c>
      <c r="C2880" s="11" t="s">
        <v>5</v>
      </c>
      <c r="D2880" s="16" t="str">
        <f>HYPERLINK("https://freddywills.com/pick/3629/nwestern-6.html", "Nwestern +6")</f>
        <v>Nwestern +6</v>
      </c>
      <c r="E2880" s="11">
        <v>4.4000000000000004</v>
      </c>
      <c r="F2880" s="11">
        <v>-1.1000000000000001</v>
      </c>
      <c r="G2880" s="11" t="s">
        <v>6</v>
      </c>
      <c r="H2880" s="13">
        <v>-4400</v>
      </c>
      <c r="I2880" s="14">
        <f t="shared" si="104"/>
        <v>0.50499729999999998</v>
      </c>
      <c r="J2880" s="13">
        <f t="shared" si="105"/>
        <v>85080.14</v>
      </c>
    </row>
    <row r="2881" spans="1:10" x14ac:dyDescent="0.25">
      <c r="A2881" s="10">
        <v>40831</v>
      </c>
      <c r="B2881" s="11" t="s">
        <v>8</v>
      </c>
      <c r="C2881" s="11" t="s">
        <v>18</v>
      </c>
      <c r="D2881" s="16" t="str">
        <f>HYPERLINK("https://freddywills.com/pick/3630/nwestern-212.html", "Nwestern +212")</f>
        <v>Nwestern +212</v>
      </c>
      <c r="E2881" s="11">
        <v>1</v>
      </c>
      <c r="F2881" s="11">
        <v>2.12</v>
      </c>
      <c r="G2881" s="11" t="s">
        <v>6</v>
      </c>
      <c r="H2881" s="13">
        <v>-1000</v>
      </c>
      <c r="I2881" s="14">
        <f t="shared" si="104"/>
        <v>0.54899730000000002</v>
      </c>
      <c r="J2881" s="13">
        <f t="shared" si="105"/>
        <v>89480.14</v>
      </c>
    </row>
    <row r="2882" spans="1:10" x14ac:dyDescent="0.25">
      <c r="A2882" s="10">
        <v>40830</v>
      </c>
      <c r="B2882" s="11" t="s">
        <v>8</v>
      </c>
      <c r="C2882" s="11" t="s">
        <v>5</v>
      </c>
      <c r="D2882" s="16" t="str">
        <f>HYPERLINK("https://freddywills.com/pick/3633/hawaii-5.html", "Hawaii -5")</f>
        <v>Hawaii -5</v>
      </c>
      <c r="E2882" s="11">
        <v>4.4000000000000004</v>
      </c>
      <c r="F2882" s="11">
        <v>-1.1000000000000001</v>
      </c>
      <c r="G2882" s="11" t="s">
        <v>6</v>
      </c>
      <c r="H2882" s="13">
        <v>-4400</v>
      </c>
      <c r="I2882" s="14">
        <f t="shared" si="104"/>
        <v>0.55899730000000003</v>
      </c>
      <c r="J2882" s="13">
        <f t="shared" si="105"/>
        <v>90480.14</v>
      </c>
    </row>
    <row r="2883" spans="1:10" x14ac:dyDescent="0.25">
      <c r="A2883" s="10">
        <v>40829</v>
      </c>
      <c r="B2883" s="11" t="s">
        <v>8</v>
      </c>
      <c r="C2883" s="11" t="s">
        <v>5</v>
      </c>
      <c r="D2883" s="16" t="str">
        <f>HYPERLINK("https://freddywills.com/pick/3634/sd-st-7-5-115.html", "SD ST +7.5 -115")</f>
        <v>SD ST +7.5 -115</v>
      </c>
      <c r="E2883" s="11">
        <v>4.5</v>
      </c>
      <c r="F2883" s="11">
        <v>-1.1499999999999999</v>
      </c>
      <c r="G2883" s="11" t="s">
        <v>4</v>
      </c>
      <c r="H2883" s="13">
        <v>3913.04</v>
      </c>
      <c r="I2883" s="14">
        <f t="shared" si="104"/>
        <v>0.60299730000000007</v>
      </c>
      <c r="J2883" s="13">
        <f t="shared" si="105"/>
        <v>94880.14</v>
      </c>
    </row>
    <row r="2884" spans="1:10" x14ac:dyDescent="0.25">
      <c r="A2884" s="10">
        <v>40829</v>
      </c>
      <c r="B2884" s="11" t="s">
        <v>8</v>
      </c>
      <c r="C2884" s="11" t="s">
        <v>18</v>
      </c>
      <c r="D2884" s="16" t="str">
        <f>HYPERLINK("https://freddywills.com/pick/3635/sd-st-250.html", "SD ST +250")</f>
        <v>SD ST +250</v>
      </c>
      <c r="E2884" s="11">
        <v>1</v>
      </c>
      <c r="F2884" s="11">
        <v>2.5</v>
      </c>
      <c r="G2884" s="11" t="s">
        <v>4</v>
      </c>
      <c r="H2884" s="13">
        <v>2500</v>
      </c>
      <c r="I2884" s="14">
        <f t="shared" si="104"/>
        <v>0.56386690000000006</v>
      </c>
      <c r="J2884" s="13">
        <f t="shared" si="105"/>
        <v>90967.1</v>
      </c>
    </row>
    <row r="2885" spans="1:10" x14ac:dyDescent="0.25">
      <c r="A2885" s="10">
        <v>40826</v>
      </c>
      <c r="B2885" s="11" t="s">
        <v>2</v>
      </c>
      <c r="C2885" s="11" t="s">
        <v>5</v>
      </c>
      <c r="D2885" s="16" t="str">
        <f>HYPERLINK("https://freddywills.com/pick/3642/lions-6-5.html", "LIONS -6.5")</f>
        <v>LIONS -6.5</v>
      </c>
      <c r="E2885" s="11">
        <v>4.4000000000000004</v>
      </c>
      <c r="F2885" s="11">
        <v>-1.1000000000000001</v>
      </c>
      <c r="G2885" s="11" t="s">
        <v>4</v>
      </c>
      <c r="H2885" s="13">
        <v>4000</v>
      </c>
      <c r="I2885" s="14">
        <f t="shared" si="104"/>
        <v>0.53886690000000004</v>
      </c>
      <c r="J2885" s="13">
        <f t="shared" si="105"/>
        <v>88467.1</v>
      </c>
    </row>
    <row r="2886" spans="1:10" x14ac:dyDescent="0.25">
      <c r="A2886" s="10">
        <v>40825</v>
      </c>
      <c r="B2886" s="11" t="s">
        <v>2</v>
      </c>
      <c r="C2886" s="11" t="s">
        <v>5</v>
      </c>
      <c r="D2886" s="16" t="str">
        <f>HYPERLINK("https://freddywills.com/pick/3643/bengals-1.html", "Bengals -1")</f>
        <v>Bengals -1</v>
      </c>
      <c r="E2886" s="11">
        <v>5.5</v>
      </c>
      <c r="F2886" s="11">
        <v>-1.1000000000000001</v>
      </c>
      <c r="G2886" s="11" t="s">
        <v>4</v>
      </c>
      <c r="H2886" s="13">
        <v>5000</v>
      </c>
      <c r="I2886" s="14">
        <f t="shared" si="104"/>
        <v>0.4988669</v>
      </c>
      <c r="J2886" s="13">
        <f t="shared" si="105"/>
        <v>84467.1</v>
      </c>
    </row>
    <row r="2887" spans="1:10" x14ac:dyDescent="0.25">
      <c r="A2887" s="10">
        <v>40825</v>
      </c>
      <c r="B2887" s="11" t="s">
        <v>2</v>
      </c>
      <c r="C2887" s="11" t="s">
        <v>5</v>
      </c>
      <c r="D2887" s="16" t="str">
        <f>HYPERLINK("https://freddywills.com/pick/3644/bills-3.html", "Bills +3")</f>
        <v>Bills +3</v>
      </c>
      <c r="E2887" s="11">
        <v>2.2000000000000002</v>
      </c>
      <c r="F2887" s="11">
        <v>-1.1000000000000001</v>
      </c>
      <c r="G2887" s="11" t="s">
        <v>4</v>
      </c>
      <c r="H2887" s="13">
        <v>2000</v>
      </c>
      <c r="I2887" s="14">
        <f t="shared" si="104"/>
        <v>0.44886690000000001</v>
      </c>
      <c r="J2887" s="13">
        <f t="shared" si="105"/>
        <v>79467.100000000006</v>
      </c>
    </row>
    <row r="2888" spans="1:10" x14ac:dyDescent="0.25">
      <c r="A2888" s="10">
        <v>40825</v>
      </c>
      <c r="B2888" s="11" t="s">
        <v>2</v>
      </c>
      <c r="C2888" s="11" t="s">
        <v>5</v>
      </c>
      <c r="D2888" s="16" t="str">
        <f>HYPERLINK("https://freddywills.com/pick/3645/falcons-6.html", "Falcons +6")</f>
        <v>Falcons +6</v>
      </c>
      <c r="E2888" s="11">
        <v>4.4000000000000004</v>
      </c>
      <c r="F2888" s="11">
        <v>-1.1000000000000001</v>
      </c>
      <c r="G2888" s="11" t="s">
        <v>6</v>
      </c>
      <c r="H2888" s="13">
        <v>-4400</v>
      </c>
      <c r="I2888" s="14">
        <f t="shared" si="104"/>
        <v>0.4288669</v>
      </c>
      <c r="J2888" s="13">
        <f t="shared" si="105"/>
        <v>77467.100000000006</v>
      </c>
    </row>
    <row r="2889" spans="1:10" x14ac:dyDescent="0.25">
      <c r="A2889" s="10">
        <v>40825</v>
      </c>
      <c r="B2889" s="11" t="s">
        <v>2</v>
      </c>
      <c r="C2889" s="11" t="s">
        <v>18</v>
      </c>
      <c r="D2889" s="16" t="str">
        <f>HYPERLINK("https://freddywills.com/pick/3646/falcons-230.html", "Falcons +230")</f>
        <v>Falcons +230</v>
      </c>
      <c r="E2889" s="11">
        <v>1</v>
      </c>
      <c r="F2889" s="11">
        <v>2.2999999999999998</v>
      </c>
      <c r="G2889" s="11" t="s">
        <v>6</v>
      </c>
      <c r="H2889" s="13">
        <v>-1000</v>
      </c>
      <c r="I2889" s="14">
        <f t="shared" si="104"/>
        <v>0.47286689999999998</v>
      </c>
      <c r="J2889" s="13">
        <f t="shared" si="105"/>
        <v>81867.100000000006</v>
      </c>
    </row>
    <row r="2890" spans="1:10" x14ac:dyDescent="0.25">
      <c r="A2890" s="10">
        <v>40825</v>
      </c>
      <c r="B2890" s="11" t="s">
        <v>2</v>
      </c>
      <c r="C2890" s="11" t="s">
        <v>5</v>
      </c>
      <c r="D2890" s="16" t="str">
        <f>HYPERLINK("https://freddywills.com/pick/3647/broncos-4-5-120.html", "Broncos +4.5 -120")</f>
        <v>Broncos +4.5 -120</v>
      </c>
      <c r="E2890" s="11">
        <v>3.5</v>
      </c>
      <c r="F2890" s="11">
        <v>-1.2</v>
      </c>
      <c r="G2890" s="11" t="s">
        <v>6</v>
      </c>
      <c r="H2890" s="13">
        <v>-3500</v>
      </c>
      <c r="I2890" s="14">
        <f t="shared" si="104"/>
        <v>0.48286689999999999</v>
      </c>
      <c r="J2890" s="13">
        <f t="shared" si="105"/>
        <v>82867.100000000006</v>
      </c>
    </row>
    <row r="2891" spans="1:10" x14ac:dyDescent="0.25">
      <c r="A2891" s="10">
        <v>40825</v>
      </c>
      <c r="B2891" s="11" t="s">
        <v>2</v>
      </c>
      <c r="C2891" s="11" t="s">
        <v>5</v>
      </c>
      <c r="D2891" s="16" t="str">
        <f>HYPERLINK("https://freddywills.com/pick/3649/texans-4-115.html", "Texans -4 -115")</f>
        <v>Texans -4 -115</v>
      </c>
      <c r="E2891" s="11">
        <v>4</v>
      </c>
      <c r="F2891" s="11">
        <v>-1.1499999999999999</v>
      </c>
      <c r="G2891" s="11" t="s">
        <v>6</v>
      </c>
      <c r="H2891" s="13">
        <v>-4000</v>
      </c>
      <c r="I2891" s="14">
        <f t="shared" si="104"/>
        <v>0.51786690000000002</v>
      </c>
      <c r="J2891" s="13">
        <f t="shared" si="105"/>
        <v>86367.1</v>
      </c>
    </row>
    <row r="2892" spans="1:10" x14ac:dyDescent="0.25">
      <c r="A2892" s="10">
        <v>40824</v>
      </c>
      <c r="B2892" s="11" t="s">
        <v>8</v>
      </c>
      <c r="C2892" s="11" t="s">
        <v>5</v>
      </c>
      <c r="D2892" s="16" t="str">
        <f>HYPERLINK("https://freddywills.com/pick/3650/rutgers-7-5-120.html", "Rutgers +7.5 -120")</f>
        <v>Rutgers +7.5 -120</v>
      </c>
      <c r="E2892" s="11">
        <v>4.5</v>
      </c>
      <c r="F2892" s="11">
        <v>-1.2</v>
      </c>
      <c r="G2892" s="11" t="s">
        <v>4</v>
      </c>
      <c r="H2892" s="13">
        <v>3750</v>
      </c>
      <c r="I2892" s="14">
        <f t="shared" si="104"/>
        <v>0.55786690000000005</v>
      </c>
      <c r="J2892" s="13">
        <f t="shared" si="105"/>
        <v>90367.1</v>
      </c>
    </row>
    <row r="2893" spans="1:10" x14ac:dyDescent="0.25">
      <c r="A2893" s="10">
        <v>40824</v>
      </c>
      <c r="B2893" s="11" t="s">
        <v>8</v>
      </c>
      <c r="C2893" s="11" t="s">
        <v>18</v>
      </c>
      <c r="D2893" s="16" t="str">
        <f>HYPERLINK("https://freddywills.com/pick/3651/rutgers-240.html", "Rutgers +240")</f>
        <v>Rutgers +240</v>
      </c>
      <c r="E2893" s="11">
        <v>1</v>
      </c>
      <c r="F2893" s="11">
        <v>2.4</v>
      </c>
      <c r="G2893" s="11" t="s">
        <v>4</v>
      </c>
      <c r="H2893" s="13">
        <v>2400</v>
      </c>
      <c r="I2893" s="14">
        <f t="shared" si="104"/>
        <v>0.52036690000000008</v>
      </c>
      <c r="J2893" s="13">
        <f t="shared" si="105"/>
        <v>86617.1</v>
      </c>
    </row>
    <row r="2894" spans="1:10" x14ac:dyDescent="0.25">
      <c r="A2894" s="10">
        <v>40824</v>
      </c>
      <c r="B2894" s="11" t="s">
        <v>8</v>
      </c>
      <c r="C2894" s="11" t="s">
        <v>5</v>
      </c>
      <c r="D2894" s="16" t="str">
        <f>HYPERLINK("https://freddywills.com/pick/3652/lsu-13.html", "LSU -13")</f>
        <v>LSU -13</v>
      </c>
      <c r="E2894" s="11">
        <v>2.2000000000000002</v>
      </c>
      <c r="F2894" s="11">
        <v>-1.1000000000000001</v>
      </c>
      <c r="G2894" s="11" t="s">
        <v>4</v>
      </c>
      <c r="H2894" s="13">
        <v>2000</v>
      </c>
      <c r="I2894" s="14">
        <f t="shared" si="104"/>
        <v>0.49636690000000006</v>
      </c>
      <c r="J2894" s="13">
        <f t="shared" si="105"/>
        <v>84217.1</v>
      </c>
    </row>
    <row r="2895" spans="1:10" x14ac:dyDescent="0.25">
      <c r="A2895" s="10">
        <v>40824</v>
      </c>
      <c r="B2895" s="11" t="s">
        <v>8</v>
      </c>
      <c r="C2895" s="11" t="s">
        <v>5</v>
      </c>
      <c r="D2895" s="16" t="str">
        <f>HYPERLINK("https://freddywills.com/pick/3653/utah-4.html", "UTAH +4")</f>
        <v>UTAH +4</v>
      </c>
      <c r="E2895" s="11">
        <v>3.3</v>
      </c>
      <c r="F2895" s="11">
        <v>-1.1000000000000001</v>
      </c>
      <c r="G2895" s="11" t="s">
        <v>6</v>
      </c>
      <c r="H2895" s="13">
        <v>-3300</v>
      </c>
      <c r="I2895" s="14">
        <f t="shared" si="104"/>
        <v>0.47636690000000004</v>
      </c>
      <c r="J2895" s="13">
        <f t="shared" si="105"/>
        <v>82217.100000000006</v>
      </c>
    </row>
    <row r="2896" spans="1:10" x14ac:dyDescent="0.25">
      <c r="A2896" s="10">
        <v>40824</v>
      </c>
      <c r="B2896" s="11" t="s">
        <v>8</v>
      </c>
      <c r="C2896" s="11" t="s">
        <v>5</v>
      </c>
      <c r="D2896" s="16" t="str">
        <f>HYPERLINK("https://freddywills.com/pick/3654/georgia-1-5.html", "Georgia -1.5")</f>
        <v>Georgia -1.5</v>
      </c>
      <c r="E2896" s="11">
        <v>5</v>
      </c>
      <c r="F2896" s="11">
        <v>-1.1000000000000001</v>
      </c>
      <c r="G2896" s="11" t="s">
        <v>4</v>
      </c>
      <c r="H2896" s="13">
        <v>4545.45</v>
      </c>
      <c r="I2896" s="14">
        <f t="shared" si="104"/>
        <v>0.50936690000000007</v>
      </c>
      <c r="J2896" s="13">
        <f t="shared" si="105"/>
        <v>85517.1</v>
      </c>
    </row>
    <row r="2897" spans="1:10" x14ac:dyDescent="0.25">
      <c r="A2897" s="10">
        <v>40824</v>
      </c>
      <c r="B2897" s="11" t="s">
        <v>8</v>
      </c>
      <c r="C2897" s="11" t="s">
        <v>5</v>
      </c>
      <c r="D2897" s="16" t="str">
        <f>HYPERLINK("https://freddywills.com/pick/3655/tx-tech-10-120.html", "Tx Tech +10 -120")</f>
        <v>Tx Tech +10 -120</v>
      </c>
      <c r="E2897" s="11">
        <v>1.5</v>
      </c>
      <c r="F2897" s="11">
        <v>-1.2</v>
      </c>
      <c r="G2897" s="11" t="s">
        <v>4</v>
      </c>
      <c r="H2897" s="13">
        <v>1250</v>
      </c>
      <c r="I2897" s="14">
        <f t="shared" si="104"/>
        <v>0.46391240000000011</v>
      </c>
      <c r="J2897" s="13">
        <f t="shared" si="105"/>
        <v>80971.650000000009</v>
      </c>
    </row>
    <row r="2898" spans="1:10" x14ac:dyDescent="0.25">
      <c r="A2898" s="10">
        <v>40824</v>
      </c>
      <c r="B2898" s="11" t="s">
        <v>8</v>
      </c>
      <c r="C2898" s="11" t="s">
        <v>5</v>
      </c>
      <c r="D2898" s="16" t="str">
        <f>HYPERLINK("https://freddywills.com/pick/3656/ohio-st-11-5.html", "Ohio St +11.5")</f>
        <v>Ohio St +11.5</v>
      </c>
      <c r="E2898" s="11">
        <v>5.5</v>
      </c>
      <c r="F2898" s="11">
        <v>-1.1000000000000001</v>
      </c>
      <c r="G2898" s="11" t="s">
        <v>4</v>
      </c>
      <c r="H2898" s="13">
        <v>5000</v>
      </c>
      <c r="I2898" s="14">
        <f t="shared" si="104"/>
        <v>0.4514124000000001</v>
      </c>
      <c r="J2898" s="13">
        <f t="shared" si="105"/>
        <v>79721.650000000009</v>
      </c>
    </row>
    <row r="2899" spans="1:10" x14ac:dyDescent="0.25">
      <c r="A2899" s="10">
        <v>40824</v>
      </c>
      <c r="B2899" s="11" t="s">
        <v>8</v>
      </c>
      <c r="C2899" s="11" t="s">
        <v>18</v>
      </c>
      <c r="D2899" s="16" t="str">
        <f>HYPERLINK("https://freddywills.com/pick/3657/ohio-st-400.html", "Ohio ST +400")</f>
        <v>Ohio ST +400</v>
      </c>
      <c r="E2899" s="11">
        <v>1.5</v>
      </c>
      <c r="F2899" s="11">
        <v>4</v>
      </c>
      <c r="G2899" s="11" t="s">
        <v>6</v>
      </c>
      <c r="H2899" s="13">
        <v>-1500</v>
      </c>
      <c r="I2899" s="14">
        <f t="shared" si="104"/>
        <v>0.40141240000000011</v>
      </c>
      <c r="J2899" s="13">
        <f t="shared" si="105"/>
        <v>74721.650000000009</v>
      </c>
    </row>
    <row r="2900" spans="1:10" x14ac:dyDescent="0.25">
      <c r="A2900" s="10">
        <v>40824</v>
      </c>
      <c r="B2900" s="11" t="s">
        <v>8</v>
      </c>
      <c r="C2900" s="11" t="s">
        <v>5</v>
      </c>
      <c r="D2900" s="16" t="str">
        <f>HYPERLINK("https://freddywills.com/pick/3659/ssu-4-5.html", "SSU +4.5")</f>
        <v>SSU +4.5</v>
      </c>
      <c r="E2900" s="11">
        <v>4.5</v>
      </c>
      <c r="F2900" s="11">
        <v>-1.1000000000000001</v>
      </c>
      <c r="G2900" s="11" t="s">
        <v>6</v>
      </c>
      <c r="H2900" s="13">
        <v>-4500</v>
      </c>
      <c r="I2900" s="14">
        <f t="shared" si="104"/>
        <v>0.41641240000000013</v>
      </c>
      <c r="J2900" s="13">
        <f t="shared" si="105"/>
        <v>76221.650000000009</v>
      </c>
    </row>
    <row r="2901" spans="1:10" x14ac:dyDescent="0.25">
      <c r="A2901" s="10">
        <v>40823</v>
      </c>
      <c r="B2901" s="11" t="s">
        <v>8</v>
      </c>
      <c r="C2901" s="11" t="s">
        <v>5</v>
      </c>
      <c r="D2901" s="16" t="str">
        <f>HYPERLINK("https://freddywills.com/pick/3660/fresno-21-5.html", "Fresno +21.5")</f>
        <v>Fresno +21.5</v>
      </c>
      <c r="E2901" s="11">
        <v>4</v>
      </c>
      <c r="F2901" s="11">
        <v>-1.1000000000000001</v>
      </c>
      <c r="G2901" s="11" t="s">
        <v>6</v>
      </c>
      <c r="H2901" s="13">
        <v>-4000</v>
      </c>
      <c r="I2901" s="14">
        <f t="shared" si="104"/>
        <v>0.46141240000000011</v>
      </c>
      <c r="J2901" s="13">
        <f t="shared" si="105"/>
        <v>80721.650000000009</v>
      </c>
    </row>
    <row r="2902" spans="1:10" x14ac:dyDescent="0.25">
      <c r="A2902" s="10">
        <v>40822</v>
      </c>
      <c r="B2902" s="11" t="s">
        <v>8</v>
      </c>
      <c r="C2902" s="11" t="s">
        <v>5</v>
      </c>
      <c r="D2902" s="16" t="str">
        <f>HYPERLINK("https://freddywills.com/pick/3663/oregon-23-5.html", "Oregon -23.5")</f>
        <v>Oregon -23.5</v>
      </c>
      <c r="E2902" s="11">
        <v>4.4000000000000004</v>
      </c>
      <c r="F2902" s="11">
        <v>-1.1000000000000001</v>
      </c>
      <c r="G2902" s="11" t="s">
        <v>4</v>
      </c>
      <c r="H2902" s="13">
        <v>4000</v>
      </c>
      <c r="I2902" s="14">
        <f t="shared" si="104"/>
        <v>0.50141240000000009</v>
      </c>
      <c r="J2902" s="13">
        <f t="shared" si="105"/>
        <v>84721.650000000009</v>
      </c>
    </row>
    <row r="2903" spans="1:10" x14ac:dyDescent="0.25">
      <c r="A2903" s="10">
        <v>40819</v>
      </c>
      <c r="B2903" s="11" t="s">
        <v>2</v>
      </c>
      <c r="C2903" s="11" t="s">
        <v>5</v>
      </c>
      <c r="D2903" s="16" t="str">
        <f>HYPERLINK("https://freddywills.com/pick/3669/colts-10-5.html", "Colts +10.5")</f>
        <v>Colts +10.5</v>
      </c>
      <c r="E2903" s="11">
        <v>4</v>
      </c>
      <c r="F2903" s="11">
        <v>-1.1000000000000001</v>
      </c>
      <c r="G2903" s="11" t="s">
        <v>4</v>
      </c>
      <c r="H2903" s="13">
        <v>3636.36</v>
      </c>
      <c r="I2903" s="14">
        <f t="shared" si="104"/>
        <v>0.46141240000000011</v>
      </c>
      <c r="J2903" s="13">
        <f t="shared" si="105"/>
        <v>80721.650000000009</v>
      </c>
    </row>
    <row r="2904" spans="1:10" x14ac:dyDescent="0.25">
      <c r="A2904" s="10">
        <v>40818</v>
      </c>
      <c r="B2904" s="11" t="s">
        <v>2</v>
      </c>
      <c r="C2904" s="11" t="s">
        <v>5</v>
      </c>
      <c r="D2904" s="16" t="str">
        <f>HYPERLINK("https://freddywills.com/pick/3674/falcons-4-120-wow.html", "Falcons -4 -120 WOW")</f>
        <v>Falcons -4 -120 WOW</v>
      </c>
      <c r="E2904" s="11">
        <v>4</v>
      </c>
      <c r="F2904" s="11">
        <v>-1.2</v>
      </c>
      <c r="G2904" s="11" t="s">
        <v>6</v>
      </c>
      <c r="H2904" s="13">
        <v>-4000</v>
      </c>
      <c r="I2904" s="14">
        <f t="shared" ref="I2904:I2967" si="106">(H2904/100000)+I2905</f>
        <v>0.42504880000000012</v>
      </c>
      <c r="J2904" s="13">
        <f t="shared" ref="J2904:J2967" si="107">H2904+J2905</f>
        <v>77085.290000000008</v>
      </c>
    </row>
    <row r="2905" spans="1:10" x14ac:dyDescent="0.25">
      <c r="A2905" s="10">
        <v>40818</v>
      </c>
      <c r="B2905" s="11" t="s">
        <v>2</v>
      </c>
      <c r="C2905" s="11" t="s">
        <v>5</v>
      </c>
      <c r="D2905" s="16" t="str">
        <f>HYPERLINK("https://freddywills.com/pick/3675/cowboys-1-5-wow.html", "Cowboys -1.5 WOW")</f>
        <v>Cowboys -1.5 WOW</v>
      </c>
      <c r="E2905" s="11">
        <v>4.5</v>
      </c>
      <c r="F2905" s="11">
        <v>-1.1000000000000001</v>
      </c>
      <c r="G2905" s="11" t="s">
        <v>6</v>
      </c>
      <c r="H2905" s="13">
        <v>-4500</v>
      </c>
      <c r="I2905" s="14">
        <f t="shared" si="106"/>
        <v>0.4650488000000001</v>
      </c>
      <c r="J2905" s="13">
        <f t="shared" si="107"/>
        <v>81085.290000000008</v>
      </c>
    </row>
    <row r="2906" spans="1:10" x14ac:dyDescent="0.25">
      <c r="A2906" s="10">
        <v>40818</v>
      </c>
      <c r="B2906" s="11" t="s">
        <v>2</v>
      </c>
      <c r="C2906" s="11" t="s">
        <v>5</v>
      </c>
      <c r="D2906" s="16" t="str">
        <f>HYPERLINK("https://freddywills.com/pick/3676/bengals-3-5-120.html", "Bengals +3.5 -120")</f>
        <v>Bengals +3.5 -120</v>
      </c>
      <c r="E2906" s="11">
        <v>5.5</v>
      </c>
      <c r="F2906" s="11">
        <v>-1.2</v>
      </c>
      <c r="G2906" s="11" t="s">
        <v>4</v>
      </c>
      <c r="H2906" s="13">
        <v>4583.33</v>
      </c>
      <c r="I2906" s="14">
        <f t="shared" si="106"/>
        <v>0.51004880000000008</v>
      </c>
      <c r="J2906" s="13">
        <f t="shared" si="107"/>
        <v>85585.290000000008</v>
      </c>
    </row>
    <row r="2907" spans="1:10" x14ac:dyDescent="0.25">
      <c r="A2907" s="10">
        <v>40818</v>
      </c>
      <c r="B2907" s="11" t="s">
        <v>2</v>
      </c>
      <c r="C2907" s="11" t="s">
        <v>5</v>
      </c>
      <c r="D2907" s="16" t="str">
        <f>HYPERLINK("https://freddywills.com/pick/3677/texans-3-120.html", "Texans -3 -120")</f>
        <v>Texans -3 -120</v>
      </c>
      <c r="E2907" s="11">
        <v>2.5</v>
      </c>
      <c r="F2907" s="11">
        <v>-1.2</v>
      </c>
      <c r="G2907" s="11" t="s">
        <v>4</v>
      </c>
      <c r="H2907" s="13">
        <v>2083.33</v>
      </c>
      <c r="I2907" s="14">
        <f t="shared" si="106"/>
        <v>0.46421550000000006</v>
      </c>
      <c r="J2907" s="13">
        <f t="shared" si="107"/>
        <v>81001.960000000006</v>
      </c>
    </row>
    <row r="2908" spans="1:10" x14ac:dyDescent="0.25">
      <c r="A2908" s="10">
        <v>40817</v>
      </c>
      <c r="B2908" s="11" t="s">
        <v>8</v>
      </c>
      <c r="C2908" s="11" t="s">
        <v>18</v>
      </c>
      <c r="D2908" s="16" t="str">
        <f>HYPERLINK("https://freddywills.com/pick/3680/misss-150.html", "Misss +150")</f>
        <v>Misss +150</v>
      </c>
      <c r="E2908" s="11">
        <v>1</v>
      </c>
      <c r="F2908" s="11">
        <v>1.5</v>
      </c>
      <c r="G2908" s="11" t="s">
        <v>4</v>
      </c>
      <c r="H2908" s="13">
        <v>1500</v>
      </c>
      <c r="I2908" s="14">
        <f t="shared" si="106"/>
        <v>0.44338220000000006</v>
      </c>
      <c r="J2908" s="13">
        <f t="shared" si="107"/>
        <v>78918.63</v>
      </c>
    </row>
    <row r="2909" spans="1:10" x14ac:dyDescent="0.25">
      <c r="A2909" s="10">
        <v>40817</v>
      </c>
      <c r="B2909" s="11" t="s">
        <v>8</v>
      </c>
      <c r="C2909" s="11" t="s">
        <v>5</v>
      </c>
      <c r="D2909" s="16" t="str">
        <f>HYPERLINK("https://freddywills.com/pick/3681/florida-4.html", "Florida +4")</f>
        <v>Florida +4</v>
      </c>
      <c r="E2909" s="11">
        <v>4</v>
      </c>
      <c r="F2909" s="11">
        <v>-1.1000000000000001</v>
      </c>
      <c r="G2909" s="11" t="s">
        <v>6</v>
      </c>
      <c r="H2909" s="13">
        <v>-4000</v>
      </c>
      <c r="I2909" s="14">
        <f t="shared" si="106"/>
        <v>0.42838220000000005</v>
      </c>
      <c r="J2909" s="13">
        <f t="shared" si="107"/>
        <v>77418.63</v>
      </c>
    </row>
    <row r="2910" spans="1:10" x14ac:dyDescent="0.25">
      <c r="A2910" s="10">
        <v>40817</v>
      </c>
      <c r="B2910" s="11" t="s">
        <v>8</v>
      </c>
      <c r="C2910" s="11" t="s">
        <v>5</v>
      </c>
      <c r="D2910" s="16" t="str">
        <f>HYPERLINK("https://freddywills.com/pick/3682/colorado-2-5.html", "Colorado -2.5")</f>
        <v>Colorado -2.5</v>
      </c>
      <c r="E2910" s="11">
        <v>5.5</v>
      </c>
      <c r="F2910" s="11">
        <v>-1.1000000000000001</v>
      </c>
      <c r="G2910" s="11" t="s">
        <v>6</v>
      </c>
      <c r="H2910" s="13">
        <v>-5500</v>
      </c>
      <c r="I2910" s="14">
        <f t="shared" si="106"/>
        <v>0.46838220000000003</v>
      </c>
      <c r="J2910" s="13">
        <f t="shared" si="107"/>
        <v>81418.63</v>
      </c>
    </row>
    <row r="2911" spans="1:10" x14ac:dyDescent="0.25">
      <c r="A2911" s="10">
        <v>40817</v>
      </c>
      <c r="B2911" s="11" t="s">
        <v>8</v>
      </c>
      <c r="C2911" s="11" t="s">
        <v>18</v>
      </c>
      <c r="D2911" s="16" t="str">
        <f>HYPERLINK("https://freddywills.com/pick/3683/nwestern-315.html", "Nwestern +315")</f>
        <v>Nwestern +315</v>
      </c>
      <c r="E2911" s="11">
        <v>1</v>
      </c>
      <c r="F2911" s="11">
        <v>3.15</v>
      </c>
      <c r="G2911" s="11" t="s">
        <v>6</v>
      </c>
      <c r="H2911" s="13">
        <v>-1000</v>
      </c>
      <c r="I2911" s="14">
        <f t="shared" si="106"/>
        <v>0.52338220000000002</v>
      </c>
      <c r="J2911" s="13">
        <f t="shared" si="107"/>
        <v>86918.63</v>
      </c>
    </row>
    <row r="2912" spans="1:10" x14ac:dyDescent="0.25">
      <c r="A2912" s="10">
        <v>40817</v>
      </c>
      <c r="B2912" s="11" t="s">
        <v>8</v>
      </c>
      <c r="C2912" s="11" t="s">
        <v>5</v>
      </c>
      <c r="D2912" s="16" t="str">
        <f>HYPERLINK("https://freddywills.com/pick/3684/nwest-10.html", "Nwest +10")</f>
        <v>Nwest +10</v>
      </c>
      <c r="E2912" s="11">
        <v>4.5</v>
      </c>
      <c r="F2912" s="11">
        <v>-1.1000000000000001</v>
      </c>
      <c r="G2912" s="11" t="s">
        <v>4</v>
      </c>
      <c r="H2912" s="13">
        <v>4090.91</v>
      </c>
      <c r="I2912" s="14">
        <f t="shared" si="106"/>
        <v>0.53338220000000003</v>
      </c>
      <c r="J2912" s="13">
        <f t="shared" si="107"/>
        <v>87918.63</v>
      </c>
    </row>
    <row r="2913" spans="1:10" x14ac:dyDescent="0.25">
      <c r="A2913" s="10">
        <v>40817</v>
      </c>
      <c r="B2913" s="11" t="s">
        <v>8</v>
      </c>
      <c r="C2913" s="11" t="s">
        <v>5</v>
      </c>
      <c r="D2913" s="16" t="str">
        <f>HYPERLINK("https://freddywills.com/pick/3685/purdue-12.html", "Purdue +12")</f>
        <v>Purdue +12</v>
      </c>
      <c r="E2913" s="11">
        <v>1.1000000000000001</v>
      </c>
      <c r="F2913" s="11">
        <v>-1.1000000000000001</v>
      </c>
      <c r="G2913" s="11" t="s">
        <v>6</v>
      </c>
      <c r="H2913" s="13">
        <v>-1100</v>
      </c>
      <c r="I2913" s="14">
        <f t="shared" si="106"/>
        <v>0.4924731</v>
      </c>
      <c r="J2913" s="13">
        <f t="shared" si="107"/>
        <v>83827.72</v>
      </c>
    </row>
    <row r="2914" spans="1:10" x14ac:dyDescent="0.25">
      <c r="A2914" s="10">
        <v>40817</v>
      </c>
      <c r="B2914" s="11" t="s">
        <v>8</v>
      </c>
      <c r="C2914" s="11" t="s">
        <v>5</v>
      </c>
      <c r="D2914" s="16" t="str">
        <f>HYPERLINK("https://freddywills.com/pick/3686/toledo-8.html", "Toledo +8")</f>
        <v>Toledo +8</v>
      </c>
      <c r="E2914" s="11">
        <v>3</v>
      </c>
      <c r="F2914" s="11">
        <v>-1.1000000000000001</v>
      </c>
      <c r="G2914" s="11" t="s">
        <v>4</v>
      </c>
      <c r="H2914" s="13">
        <v>2727.27</v>
      </c>
      <c r="I2914" s="14">
        <f t="shared" si="106"/>
        <v>0.50347310000000001</v>
      </c>
      <c r="J2914" s="13">
        <f t="shared" si="107"/>
        <v>84927.72</v>
      </c>
    </row>
    <row r="2915" spans="1:10" x14ac:dyDescent="0.25">
      <c r="A2915" s="10">
        <v>40817</v>
      </c>
      <c r="B2915" s="11" t="s">
        <v>8</v>
      </c>
      <c r="C2915" s="11" t="s">
        <v>5</v>
      </c>
      <c r="D2915" s="16" t="str">
        <f>HYPERLINK("https://freddywills.com/pick/3687/miss-4.html", "Miss +4")</f>
        <v>Miss +4</v>
      </c>
      <c r="E2915" s="11">
        <v>4</v>
      </c>
      <c r="F2915" s="11">
        <v>-1.1000000000000001</v>
      </c>
      <c r="G2915" s="11" t="s">
        <v>4</v>
      </c>
      <c r="H2915" s="13">
        <v>3636.36</v>
      </c>
      <c r="I2915" s="14">
        <f t="shared" si="106"/>
        <v>0.47620040000000002</v>
      </c>
      <c r="J2915" s="13">
        <f t="shared" si="107"/>
        <v>82200.45</v>
      </c>
    </row>
    <row r="2916" spans="1:10" x14ac:dyDescent="0.25">
      <c r="A2916" s="10">
        <v>40816</v>
      </c>
      <c r="B2916" s="11" t="s">
        <v>8</v>
      </c>
      <c r="C2916" s="11" t="s">
        <v>5</v>
      </c>
      <c r="D2916" s="16" t="str">
        <f>HYPERLINK("https://freddywills.com/pick/3688/utah-st-8-115.html", "Utah st +8 -115")</f>
        <v>Utah st +8 -115</v>
      </c>
      <c r="E2916" s="11">
        <v>4.5</v>
      </c>
      <c r="F2916" s="11">
        <v>-1.1499999999999999</v>
      </c>
      <c r="G2916" s="11" t="s">
        <v>4</v>
      </c>
      <c r="H2916" s="13">
        <v>3913.04</v>
      </c>
      <c r="I2916" s="14">
        <f t="shared" si="106"/>
        <v>0.43983680000000003</v>
      </c>
      <c r="J2916" s="13">
        <f t="shared" si="107"/>
        <v>78564.09</v>
      </c>
    </row>
    <row r="2917" spans="1:10" x14ac:dyDescent="0.25">
      <c r="A2917" s="10">
        <v>40815</v>
      </c>
      <c r="B2917" s="11" t="s">
        <v>8</v>
      </c>
      <c r="C2917" s="11" t="s">
        <v>7</v>
      </c>
      <c r="D2917" s="16" t="str">
        <f>HYPERLINK("https://freddywills.com/pick/3690/pit-usf-u52.html", "PIT/USF U52")</f>
        <v>PIT/USF U52</v>
      </c>
      <c r="E2917" s="11">
        <v>4.5</v>
      </c>
      <c r="F2917" s="11">
        <v>-1.1000000000000001</v>
      </c>
      <c r="G2917" s="11" t="s">
        <v>6</v>
      </c>
      <c r="H2917" s="13">
        <v>-4500</v>
      </c>
      <c r="I2917" s="14">
        <f t="shared" si="106"/>
        <v>0.40070640000000002</v>
      </c>
      <c r="J2917" s="13">
        <f t="shared" si="107"/>
        <v>74651.05</v>
      </c>
    </row>
    <row r="2918" spans="1:10" x14ac:dyDescent="0.25">
      <c r="A2918" s="10">
        <v>40815</v>
      </c>
      <c r="B2918" s="11" t="s">
        <v>8</v>
      </c>
      <c r="C2918" s="11" t="s">
        <v>10</v>
      </c>
      <c r="D2918" s="16" t="str">
        <f>HYPERLINK("https://freddywills.com/pick/3691/pit-8-5-u58.html", "Pit +8.5 U58")</f>
        <v>Pit +8.5 U58</v>
      </c>
      <c r="E2918" s="11">
        <v>2.2000000000000002</v>
      </c>
      <c r="F2918" s="11">
        <v>-1.1000000000000001</v>
      </c>
      <c r="G2918" s="11" t="s">
        <v>6</v>
      </c>
      <c r="H2918" s="13">
        <v>-2200</v>
      </c>
      <c r="I2918" s="14">
        <f t="shared" si="106"/>
        <v>0.4457064</v>
      </c>
      <c r="J2918" s="13">
        <f t="shared" si="107"/>
        <v>79151.05</v>
      </c>
    </row>
    <row r="2919" spans="1:10" x14ac:dyDescent="0.25">
      <c r="A2919" s="10">
        <v>40812</v>
      </c>
      <c r="B2919" s="11" t="s">
        <v>2</v>
      </c>
      <c r="C2919" s="11" t="s">
        <v>5</v>
      </c>
      <c r="D2919" s="16" t="str">
        <f>HYPERLINK("https://freddywills.com/pick/3699/cowboys-3.html", "Cowboys -3")</f>
        <v>Cowboys -3</v>
      </c>
      <c r="E2919" s="11">
        <v>4.4000000000000004</v>
      </c>
      <c r="F2919" s="11">
        <v>-1.1000000000000001</v>
      </c>
      <c r="G2919" s="11" t="s">
        <v>6</v>
      </c>
      <c r="H2919" s="13">
        <v>-4400</v>
      </c>
      <c r="I2919" s="14">
        <f t="shared" si="106"/>
        <v>0.46770640000000002</v>
      </c>
      <c r="J2919" s="13">
        <f t="shared" si="107"/>
        <v>81351.05</v>
      </c>
    </row>
    <row r="2920" spans="1:10" x14ac:dyDescent="0.25">
      <c r="A2920" s="10">
        <v>40811</v>
      </c>
      <c r="B2920" s="11" t="s">
        <v>2</v>
      </c>
      <c r="C2920" s="11" t="s">
        <v>5</v>
      </c>
      <c r="D2920" s="16" t="str">
        <f>HYPERLINK("https://freddywills.com/pick/3700/bears-4-5.html", "Bears +4.5")</f>
        <v>Bears +4.5</v>
      </c>
      <c r="E2920" s="11">
        <v>3.3</v>
      </c>
      <c r="F2920" s="11">
        <v>-1.1000000000000001</v>
      </c>
      <c r="G2920" s="11" t="s">
        <v>6</v>
      </c>
      <c r="H2920" s="13">
        <v>-3300</v>
      </c>
      <c r="I2920" s="14">
        <f t="shared" si="106"/>
        <v>0.51170640000000001</v>
      </c>
      <c r="J2920" s="13">
        <f t="shared" si="107"/>
        <v>85751.05</v>
      </c>
    </row>
    <row r="2921" spans="1:10" x14ac:dyDescent="0.25">
      <c r="A2921" s="10">
        <v>40811</v>
      </c>
      <c r="B2921" s="11" t="s">
        <v>2</v>
      </c>
      <c r="C2921" s="11" t="s">
        <v>5</v>
      </c>
      <c r="D2921" s="16" t="str">
        <f>HYPERLINK("https://freddywills.com/pick/3701/dolphins-3-125.html", "Dolphins +3 -125")</f>
        <v>Dolphins +3 -125</v>
      </c>
      <c r="E2921" s="11">
        <v>5.5</v>
      </c>
      <c r="F2921" s="11">
        <v>-1.25</v>
      </c>
      <c r="G2921" s="11" t="s">
        <v>4</v>
      </c>
      <c r="H2921" s="13">
        <v>4400</v>
      </c>
      <c r="I2921" s="14">
        <f t="shared" si="106"/>
        <v>0.54470640000000003</v>
      </c>
      <c r="J2921" s="13">
        <f t="shared" si="107"/>
        <v>89051.05</v>
      </c>
    </row>
    <row r="2922" spans="1:10" x14ac:dyDescent="0.25">
      <c r="A2922" s="10">
        <v>40811</v>
      </c>
      <c r="B2922" s="11" t="s">
        <v>2</v>
      </c>
      <c r="C2922" s="11" t="s">
        <v>5</v>
      </c>
      <c r="D2922" s="16" t="str">
        <f>HYPERLINK("https://freddywills.com/pick/3702/bengals-1-5.html", "Bengals -1.5")</f>
        <v>Bengals -1.5</v>
      </c>
      <c r="E2922" s="11">
        <v>3.3</v>
      </c>
      <c r="F2922" s="11">
        <v>-1.1000000000000001</v>
      </c>
      <c r="G2922" s="11" t="s">
        <v>6</v>
      </c>
      <c r="H2922" s="13">
        <v>-3300</v>
      </c>
      <c r="I2922" s="14">
        <f t="shared" si="106"/>
        <v>0.5007064</v>
      </c>
      <c r="J2922" s="13">
        <f t="shared" si="107"/>
        <v>84651.05</v>
      </c>
    </row>
    <row r="2923" spans="1:10" x14ac:dyDescent="0.25">
      <c r="A2923" s="10">
        <v>40811</v>
      </c>
      <c r="B2923" s="11" t="s">
        <v>2</v>
      </c>
      <c r="C2923" s="11" t="s">
        <v>5</v>
      </c>
      <c r="D2923" s="16" t="str">
        <f>HYPERLINK("https://freddywills.com/pick/3703/saints-3-5.html", "Saints -3.5")</f>
        <v>Saints -3.5</v>
      </c>
      <c r="E2923" s="11">
        <v>2.2000000000000002</v>
      </c>
      <c r="F2923" s="11">
        <v>-1.1000000000000001</v>
      </c>
      <c r="G2923" s="11" t="s">
        <v>4</v>
      </c>
      <c r="H2923" s="13">
        <v>2000</v>
      </c>
      <c r="I2923" s="14">
        <f t="shared" si="106"/>
        <v>0.53370640000000003</v>
      </c>
      <c r="J2923" s="13">
        <f t="shared" si="107"/>
        <v>87951.05</v>
      </c>
    </row>
    <row r="2924" spans="1:10" x14ac:dyDescent="0.25">
      <c r="A2924" s="10">
        <v>40810</v>
      </c>
      <c r="B2924" s="11" t="s">
        <v>8</v>
      </c>
      <c r="C2924" s="11" t="s">
        <v>5</v>
      </c>
      <c r="D2924" s="16" t="str">
        <f>HYPERLINK("https://freddywills.com/pick/3704/az-st-2-5.html", "AZ St -2.5")</f>
        <v>AZ St -2.5</v>
      </c>
      <c r="E2924" s="11">
        <v>4</v>
      </c>
      <c r="F2924" s="11">
        <v>-1.1000000000000001</v>
      </c>
      <c r="G2924" s="11" t="s">
        <v>4</v>
      </c>
      <c r="H2924" s="13">
        <v>3636.36</v>
      </c>
      <c r="I2924" s="14">
        <f t="shared" si="106"/>
        <v>0.51370640000000001</v>
      </c>
      <c r="J2924" s="13">
        <f t="shared" si="107"/>
        <v>85951.05</v>
      </c>
    </row>
    <row r="2925" spans="1:10" x14ac:dyDescent="0.25">
      <c r="A2925" s="10">
        <v>40810</v>
      </c>
      <c r="B2925" s="11" t="s">
        <v>8</v>
      </c>
      <c r="C2925" s="11" t="s">
        <v>5</v>
      </c>
      <c r="D2925" s="16" t="str">
        <f>HYPERLINK("https://freddywills.com/pick/3706/smiss-3.html", "Smiss +3")</f>
        <v>Smiss +3</v>
      </c>
      <c r="E2925" s="11">
        <v>2.2000000000000002</v>
      </c>
      <c r="F2925" s="11">
        <v>-1.1000000000000001</v>
      </c>
      <c r="G2925" s="11" t="s">
        <v>4</v>
      </c>
      <c r="H2925" s="13">
        <v>2000</v>
      </c>
      <c r="I2925" s="14">
        <f t="shared" si="106"/>
        <v>0.47734279999999996</v>
      </c>
      <c r="J2925" s="13">
        <f t="shared" si="107"/>
        <v>82314.69</v>
      </c>
    </row>
    <row r="2926" spans="1:10" x14ac:dyDescent="0.25">
      <c r="A2926" s="10">
        <v>40810</v>
      </c>
      <c r="B2926" s="11" t="s">
        <v>8</v>
      </c>
      <c r="C2926" s="11" t="s">
        <v>5</v>
      </c>
      <c r="D2926" s="16" t="str">
        <f>HYPERLINK("https://freddywills.com/pick/3707/temple-9.html", "Temple +9")</f>
        <v>Temple +9</v>
      </c>
      <c r="E2926" s="11">
        <v>3.3</v>
      </c>
      <c r="F2926" s="11">
        <v>-1.1000000000000001</v>
      </c>
      <c r="G2926" s="11" t="s">
        <v>4</v>
      </c>
      <c r="H2926" s="13">
        <v>3000</v>
      </c>
      <c r="I2926" s="14">
        <f t="shared" si="106"/>
        <v>0.45734279999999994</v>
      </c>
      <c r="J2926" s="13">
        <f t="shared" si="107"/>
        <v>80314.69</v>
      </c>
    </row>
    <row r="2927" spans="1:10" x14ac:dyDescent="0.25">
      <c r="A2927" s="10">
        <v>40810</v>
      </c>
      <c r="B2927" s="11" t="s">
        <v>8</v>
      </c>
      <c r="C2927" s="11" t="s">
        <v>18</v>
      </c>
      <c r="D2927" s="16" t="str">
        <f>HYPERLINK("https://freddywills.com/pick/3708/temple-290.html", "Temple +290")</f>
        <v>Temple +290</v>
      </c>
      <c r="E2927" s="11">
        <v>0.5</v>
      </c>
      <c r="F2927" s="11">
        <v>2.9</v>
      </c>
      <c r="G2927" s="11" t="s">
        <v>4</v>
      </c>
      <c r="H2927" s="13">
        <v>1450</v>
      </c>
      <c r="I2927" s="14">
        <f t="shared" si="106"/>
        <v>0.42734279999999997</v>
      </c>
      <c r="J2927" s="13">
        <f t="shared" si="107"/>
        <v>77314.69</v>
      </c>
    </row>
    <row r="2928" spans="1:10" x14ac:dyDescent="0.25">
      <c r="A2928" s="10">
        <v>40810</v>
      </c>
      <c r="B2928" s="11" t="s">
        <v>8</v>
      </c>
      <c r="C2928" s="11" t="s">
        <v>5</v>
      </c>
      <c r="D2928" s="16" t="str">
        <f>HYPERLINK("https://freddywills.com/pick/3709/ohio-4-5.html", "Ohio +4.5")</f>
        <v>Ohio +4.5</v>
      </c>
      <c r="E2928" s="11">
        <v>3.3</v>
      </c>
      <c r="F2928" s="11">
        <v>-1.1000000000000001</v>
      </c>
      <c r="G2928" s="11" t="s">
        <v>6</v>
      </c>
      <c r="H2928" s="13">
        <v>-3300</v>
      </c>
      <c r="I2928" s="14">
        <f t="shared" si="106"/>
        <v>0.41284279999999995</v>
      </c>
      <c r="J2928" s="13">
        <f t="shared" si="107"/>
        <v>75864.69</v>
      </c>
    </row>
    <row r="2929" spans="1:10" x14ac:dyDescent="0.25">
      <c r="A2929" s="10">
        <v>40810</v>
      </c>
      <c r="B2929" s="11" t="s">
        <v>8</v>
      </c>
      <c r="C2929" s="11" t="s">
        <v>5</v>
      </c>
      <c r="D2929" s="16" t="str">
        <f>HYPERLINK("https://freddywills.com/pick/3710/oklahoma-st-4-5.html", "Oklahoma St +4.5")</f>
        <v>Oklahoma St +4.5</v>
      </c>
      <c r="E2929" s="11">
        <v>4.4000000000000004</v>
      </c>
      <c r="F2929" s="11">
        <v>-1.1000000000000001</v>
      </c>
      <c r="G2929" s="11" t="s">
        <v>4</v>
      </c>
      <c r="H2929" s="13">
        <v>4000</v>
      </c>
      <c r="I2929" s="14">
        <f t="shared" si="106"/>
        <v>0.44584279999999993</v>
      </c>
      <c r="J2929" s="13">
        <f t="shared" si="107"/>
        <v>79164.69</v>
      </c>
    </row>
    <row r="2930" spans="1:10" x14ac:dyDescent="0.25">
      <c r="A2930" s="10">
        <v>40810</v>
      </c>
      <c r="B2930" s="11" t="s">
        <v>8</v>
      </c>
      <c r="C2930" s="11" t="s">
        <v>18</v>
      </c>
      <c r="D2930" s="16" t="str">
        <f>HYPERLINK("https://freddywills.com/pick/3711/okl-st-170.html", "Okl St +170")</f>
        <v>Okl St +170</v>
      </c>
      <c r="E2930" s="11">
        <v>2</v>
      </c>
      <c r="F2930" s="11">
        <v>1.7</v>
      </c>
      <c r="G2930" s="11" t="s">
        <v>4</v>
      </c>
      <c r="H2930" s="13">
        <v>3400</v>
      </c>
      <c r="I2930" s="14">
        <f t="shared" si="106"/>
        <v>0.40584279999999995</v>
      </c>
      <c r="J2930" s="13">
        <f t="shared" si="107"/>
        <v>75164.69</v>
      </c>
    </row>
    <row r="2931" spans="1:10" x14ac:dyDescent="0.25">
      <c r="A2931" s="10">
        <v>40810</v>
      </c>
      <c r="B2931" s="11" t="s">
        <v>8</v>
      </c>
      <c r="C2931" s="11" t="s">
        <v>5</v>
      </c>
      <c r="D2931" s="16" t="str">
        <f>HYPERLINK("https://freddywills.com/pick/3712/lsu-4-5.html", "LSU -4.5")</f>
        <v>LSU -4.5</v>
      </c>
      <c r="E2931" s="11">
        <v>5.5</v>
      </c>
      <c r="F2931" s="11">
        <v>-1.1000000000000001</v>
      </c>
      <c r="G2931" s="11" t="s">
        <v>4</v>
      </c>
      <c r="H2931" s="13">
        <v>5000</v>
      </c>
      <c r="I2931" s="14">
        <f t="shared" si="106"/>
        <v>0.37184279999999997</v>
      </c>
      <c r="J2931" s="13">
        <f t="shared" si="107"/>
        <v>71764.69</v>
      </c>
    </row>
    <row r="2932" spans="1:10" x14ac:dyDescent="0.25">
      <c r="A2932" s="10">
        <v>40809</v>
      </c>
      <c r="B2932" s="11" t="s">
        <v>8</v>
      </c>
      <c r="C2932" s="11" t="s">
        <v>7</v>
      </c>
      <c r="D2932" s="16" t="str">
        <f>HYPERLINK("https://freddywills.com/pick/3713/byu-ucf-u44.html", "BYU/UCF U44")</f>
        <v>BYU/UCF U44</v>
      </c>
      <c r="E2932" s="11">
        <v>4.4000000000000004</v>
      </c>
      <c r="F2932" s="11">
        <v>-1.1000000000000001</v>
      </c>
      <c r="G2932" s="11" t="s">
        <v>4</v>
      </c>
      <c r="H2932" s="13">
        <v>4000</v>
      </c>
      <c r="I2932" s="14">
        <f t="shared" si="106"/>
        <v>0.32184279999999998</v>
      </c>
      <c r="J2932" s="13">
        <f t="shared" si="107"/>
        <v>66764.69</v>
      </c>
    </row>
    <row r="2933" spans="1:10" x14ac:dyDescent="0.25">
      <c r="A2933" s="10">
        <v>40809</v>
      </c>
      <c r="B2933" s="11" t="s">
        <v>8</v>
      </c>
      <c r="C2933" s="11" t="s">
        <v>5</v>
      </c>
      <c r="D2933" s="16" t="str">
        <f>HYPERLINK("https://freddywills.com/pick/3714/ucf-3-120.html", "UCF +3 -120")</f>
        <v>UCF +3 -120</v>
      </c>
      <c r="E2933" s="11">
        <v>2.5</v>
      </c>
      <c r="F2933" s="11">
        <v>-1.2</v>
      </c>
      <c r="G2933" s="11" t="s">
        <v>6</v>
      </c>
      <c r="H2933" s="13">
        <v>-2500</v>
      </c>
      <c r="I2933" s="14">
        <f t="shared" si="106"/>
        <v>0.2818428</v>
      </c>
      <c r="J2933" s="13">
        <f t="shared" si="107"/>
        <v>62764.69000000001</v>
      </c>
    </row>
    <row r="2934" spans="1:10" x14ac:dyDescent="0.25">
      <c r="A2934" s="10">
        <v>40808</v>
      </c>
      <c r="B2934" s="11" t="s">
        <v>8</v>
      </c>
      <c r="C2934" s="11" t="s">
        <v>5</v>
      </c>
      <c r="D2934" s="16" t="str">
        <f>HYPERLINK("https://freddywills.com/pick/3715/cinci-7-115.html", "Cinci -7 -115")</f>
        <v>Cinci -7 -115</v>
      </c>
      <c r="E2934" s="11">
        <v>4.5</v>
      </c>
      <c r="F2934" s="11">
        <v>-1.1499999999999999</v>
      </c>
      <c r="G2934" s="11" t="s">
        <v>4</v>
      </c>
      <c r="H2934" s="13">
        <v>3913.04</v>
      </c>
      <c r="I2934" s="14">
        <f t="shared" si="106"/>
        <v>0.30684280000000003</v>
      </c>
      <c r="J2934" s="13">
        <f t="shared" si="107"/>
        <v>65264.69000000001</v>
      </c>
    </row>
    <row r="2935" spans="1:10" x14ac:dyDescent="0.25">
      <c r="A2935" s="10">
        <v>40805</v>
      </c>
      <c r="B2935" s="11" t="s">
        <v>2</v>
      </c>
      <c r="C2935" s="11" t="s">
        <v>7</v>
      </c>
      <c r="D2935" s="16" t="str">
        <f>HYPERLINK("https://freddywills.com/pick/3722/nyg-stl-u44-5.html", "NYG/STL U44.5")</f>
        <v>NYG/STL U44.5</v>
      </c>
      <c r="E2935" s="11">
        <v>4.4000000000000004</v>
      </c>
      <c r="F2935" s="11">
        <v>-1.1000000000000001</v>
      </c>
      <c r="G2935" s="11" t="s">
        <v>4</v>
      </c>
      <c r="H2935" s="13">
        <v>4000</v>
      </c>
      <c r="I2935" s="14">
        <f t="shared" si="106"/>
        <v>0.26771240000000002</v>
      </c>
      <c r="J2935" s="13">
        <f t="shared" si="107"/>
        <v>61351.650000000009</v>
      </c>
    </row>
    <row r="2936" spans="1:10" x14ac:dyDescent="0.25">
      <c r="A2936" s="10">
        <v>40804</v>
      </c>
      <c r="B2936" s="11" t="s">
        <v>2</v>
      </c>
      <c r="C2936" s="11" t="s">
        <v>5</v>
      </c>
      <c r="D2936" s="16" t="str">
        <f>HYPERLINK("https://freddywills.com/pick/3723/redskins-3.html", "Redskins -3")</f>
        <v>Redskins -3</v>
      </c>
      <c r="E2936" s="11">
        <v>4.5</v>
      </c>
      <c r="F2936" s="11">
        <v>-1.1000000000000001</v>
      </c>
      <c r="G2936" s="11" t="s">
        <v>6</v>
      </c>
      <c r="H2936" s="13">
        <v>-4500</v>
      </c>
      <c r="I2936" s="14">
        <f t="shared" si="106"/>
        <v>0.22771240000000004</v>
      </c>
      <c r="J2936" s="13">
        <f t="shared" si="107"/>
        <v>57351.650000000009</v>
      </c>
    </row>
    <row r="2937" spans="1:10" x14ac:dyDescent="0.25">
      <c r="A2937" s="10">
        <v>40804</v>
      </c>
      <c r="B2937" s="11" t="s">
        <v>2</v>
      </c>
      <c r="C2937" s="11" t="s">
        <v>5</v>
      </c>
      <c r="D2937" s="16" t="str">
        <f>HYPERLINK("https://freddywills.com/pick/3724/raiders-4.html", "Raiders +4")</f>
        <v>Raiders +4</v>
      </c>
      <c r="E2937" s="11">
        <v>1.1000000000000001</v>
      </c>
      <c r="F2937" s="11">
        <v>-1.1000000000000001</v>
      </c>
      <c r="G2937" s="11" t="s">
        <v>4</v>
      </c>
      <c r="H2937" s="13">
        <v>1000</v>
      </c>
      <c r="I2937" s="14">
        <f t="shared" si="106"/>
        <v>0.27271240000000002</v>
      </c>
      <c r="J2937" s="13">
        <f t="shared" si="107"/>
        <v>61851.650000000009</v>
      </c>
    </row>
    <row r="2938" spans="1:10" x14ac:dyDescent="0.25">
      <c r="A2938" s="10">
        <v>40804</v>
      </c>
      <c r="B2938" s="11" t="s">
        <v>2</v>
      </c>
      <c r="C2938" s="11" t="s">
        <v>5</v>
      </c>
      <c r="D2938" s="16" t="str">
        <f>HYPERLINK("https://freddywills.com/pick/3725/texans-2-5-120.html", "Texans -2.5 -120")</f>
        <v>Texans -2.5 -120</v>
      </c>
      <c r="E2938" s="11">
        <v>4</v>
      </c>
      <c r="F2938" s="11">
        <v>-1.2</v>
      </c>
      <c r="G2938" s="11" t="s">
        <v>4</v>
      </c>
      <c r="H2938" s="13">
        <v>3333.33</v>
      </c>
      <c r="I2938" s="14">
        <f t="shared" si="106"/>
        <v>0.26271240000000001</v>
      </c>
      <c r="J2938" s="13">
        <f t="shared" si="107"/>
        <v>60851.650000000009</v>
      </c>
    </row>
    <row r="2939" spans="1:10" x14ac:dyDescent="0.25">
      <c r="A2939" s="10">
        <v>40804</v>
      </c>
      <c r="B2939" s="11" t="s">
        <v>2</v>
      </c>
      <c r="C2939" s="11" t="s">
        <v>5</v>
      </c>
      <c r="D2939" s="16" t="str">
        <f>HYPERLINK("https://freddywills.com/pick/3726/cowboys-2-5.html", "Cowboys -2.5")</f>
        <v>Cowboys -2.5</v>
      </c>
      <c r="E2939" s="11">
        <v>5.5</v>
      </c>
      <c r="F2939" s="11">
        <v>-1.1000000000000001</v>
      </c>
      <c r="G2939" s="11" t="s">
        <v>4</v>
      </c>
      <c r="H2939" s="13">
        <v>5000</v>
      </c>
      <c r="I2939" s="14">
        <f t="shared" si="106"/>
        <v>0.2293791</v>
      </c>
      <c r="J2939" s="13">
        <f t="shared" si="107"/>
        <v>57518.320000000007</v>
      </c>
    </row>
    <row r="2940" spans="1:10" x14ac:dyDescent="0.25">
      <c r="A2940" s="10">
        <v>40804</v>
      </c>
      <c r="B2940" s="11" t="s">
        <v>2</v>
      </c>
      <c r="C2940" s="11" t="s">
        <v>5</v>
      </c>
      <c r="D2940" s="16" t="str">
        <f>HYPERLINK("https://freddywills.com/pick/3727/falcons-3-120.html", "Falcons +3 -120")</f>
        <v>Falcons +3 -120</v>
      </c>
      <c r="E2940" s="11">
        <v>3.3</v>
      </c>
      <c r="F2940" s="11">
        <v>-1.2</v>
      </c>
      <c r="G2940" s="11" t="s">
        <v>4</v>
      </c>
      <c r="H2940" s="13">
        <v>2750</v>
      </c>
      <c r="I2940" s="14">
        <f t="shared" si="106"/>
        <v>0.17937909999999999</v>
      </c>
      <c r="J2940" s="13">
        <f t="shared" si="107"/>
        <v>52518.320000000007</v>
      </c>
    </row>
    <row r="2941" spans="1:10" x14ac:dyDescent="0.25">
      <c r="A2941" s="10">
        <v>40803</v>
      </c>
      <c r="B2941" s="11" t="s">
        <v>8</v>
      </c>
      <c r="C2941" s="11" t="s">
        <v>18</v>
      </c>
      <c r="D2941" s="16" t="str">
        <f>HYPERLINK("https://freddywills.com/pick/3728/wyoming-290.html", "Wyoming +290")</f>
        <v>Wyoming +290</v>
      </c>
      <c r="E2941" s="11">
        <v>1.5</v>
      </c>
      <c r="F2941" s="11">
        <v>2.9</v>
      </c>
      <c r="G2941" s="11" t="s">
        <v>4</v>
      </c>
      <c r="H2941" s="13">
        <v>4350</v>
      </c>
      <c r="I2941" s="14">
        <f t="shared" si="106"/>
        <v>0.15187909999999999</v>
      </c>
      <c r="J2941" s="13">
        <f t="shared" si="107"/>
        <v>49768.320000000007</v>
      </c>
    </row>
    <row r="2942" spans="1:10" x14ac:dyDescent="0.25">
      <c r="A2942" s="10">
        <v>40803</v>
      </c>
      <c r="B2942" s="11" t="s">
        <v>8</v>
      </c>
      <c r="C2942" s="11" t="s">
        <v>5</v>
      </c>
      <c r="D2942" s="16" t="str">
        <f>HYPERLINK("https://freddywills.com/pick/3729/wyoming-10-120.html", "Wyoming +10 -120")</f>
        <v>Wyoming +10 -120</v>
      </c>
      <c r="E2942" s="11">
        <v>4</v>
      </c>
      <c r="F2942" s="11">
        <v>-1.2</v>
      </c>
      <c r="G2942" s="11" t="s">
        <v>4</v>
      </c>
      <c r="H2942" s="13">
        <v>3333.33</v>
      </c>
      <c r="I2942" s="14">
        <f t="shared" si="106"/>
        <v>0.10837909999999998</v>
      </c>
      <c r="J2942" s="13">
        <f t="shared" si="107"/>
        <v>45418.320000000007</v>
      </c>
    </row>
    <row r="2943" spans="1:10" x14ac:dyDescent="0.25">
      <c r="A2943" s="10">
        <v>40803</v>
      </c>
      <c r="B2943" s="11" t="s">
        <v>8</v>
      </c>
      <c r="C2943" s="11" t="s">
        <v>5</v>
      </c>
      <c r="D2943" s="16" t="str">
        <f>HYPERLINK("https://freddywills.com/pick/3730/temple-7-5-120.html", "Temple +7.5 -120")</f>
        <v>Temple +7.5 -120</v>
      </c>
      <c r="E2943" s="11">
        <v>4.5</v>
      </c>
      <c r="F2943" s="11">
        <v>-1.2</v>
      </c>
      <c r="G2943" s="11" t="s">
        <v>4</v>
      </c>
      <c r="H2943" s="13">
        <v>3750</v>
      </c>
      <c r="I2943" s="14">
        <f t="shared" si="106"/>
        <v>7.5045799999999982E-2</v>
      </c>
      <c r="J2943" s="13">
        <f t="shared" si="107"/>
        <v>42084.990000000005</v>
      </c>
    </row>
    <row r="2944" spans="1:10" x14ac:dyDescent="0.25">
      <c r="A2944" s="10">
        <v>40803</v>
      </c>
      <c r="B2944" s="11" t="s">
        <v>8</v>
      </c>
      <c r="C2944" s="11" t="s">
        <v>5</v>
      </c>
      <c r="D2944" s="16" t="str">
        <f>HYPERLINK("https://freddywills.com/pick/3732/mia-oh-5.html", "MIA OH +5")</f>
        <v>MIA OH +5</v>
      </c>
      <c r="E2944" s="11">
        <v>5.5</v>
      </c>
      <c r="F2944" s="11">
        <v>-1.1000000000000001</v>
      </c>
      <c r="G2944" s="11" t="s">
        <v>6</v>
      </c>
      <c r="H2944" s="13">
        <v>-5500</v>
      </c>
      <c r="I2944" s="14">
        <f t="shared" si="106"/>
        <v>3.7545799999999983E-2</v>
      </c>
      <c r="J2944" s="13">
        <f t="shared" si="107"/>
        <v>38334.990000000005</v>
      </c>
    </row>
    <row r="2945" spans="1:10" x14ac:dyDescent="0.25">
      <c r="A2945" s="10">
        <v>40803</v>
      </c>
      <c r="B2945" s="11" t="s">
        <v>8</v>
      </c>
      <c r="C2945" s="11" t="s">
        <v>5</v>
      </c>
      <c r="D2945" s="16" t="str">
        <f>HYPERLINK("https://freddywills.com/pick/3733/navy-17-5-115.html", "Navy +17.5 -115")</f>
        <v>Navy +17.5 -115</v>
      </c>
      <c r="E2945" s="11">
        <v>3</v>
      </c>
      <c r="F2945" s="11">
        <v>-1.1499999999999999</v>
      </c>
      <c r="G2945" s="11" t="s">
        <v>4</v>
      </c>
      <c r="H2945" s="13">
        <v>2608.6999999999998</v>
      </c>
      <c r="I2945" s="14">
        <f t="shared" si="106"/>
        <v>9.2545799999999984E-2</v>
      </c>
      <c r="J2945" s="13">
        <f t="shared" si="107"/>
        <v>43834.990000000005</v>
      </c>
    </row>
    <row r="2946" spans="1:10" x14ac:dyDescent="0.25">
      <c r="A2946" s="10">
        <v>40803</v>
      </c>
      <c r="B2946" s="11" t="s">
        <v>8</v>
      </c>
      <c r="C2946" s="11" t="s">
        <v>5</v>
      </c>
      <c r="D2946" s="16" t="str">
        <f>HYPERLINK("https://freddywills.com/pick/3734/illinois-2.html", "Illinois -2")</f>
        <v>Illinois -2</v>
      </c>
      <c r="E2946" s="11">
        <v>3.3</v>
      </c>
      <c r="F2946" s="11">
        <v>-1.1000000000000001</v>
      </c>
      <c r="G2946" s="11" t="s">
        <v>4</v>
      </c>
      <c r="H2946" s="13">
        <v>3000</v>
      </c>
      <c r="I2946" s="14">
        <f t="shared" si="106"/>
        <v>6.6458799999999985E-2</v>
      </c>
      <c r="J2946" s="13">
        <f t="shared" si="107"/>
        <v>41226.290000000008</v>
      </c>
    </row>
    <row r="2947" spans="1:10" x14ac:dyDescent="0.25">
      <c r="A2947" s="10">
        <v>40803</v>
      </c>
      <c r="B2947" s="11" t="s">
        <v>8</v>
      </c>
      <c r="C2947" s="11" t="s">
        <v>5</v>
      </c>
      <c r="D2947" s="16" t="str">
        <f>HYPERLINK("https://freddywills.com/pick/3735/la-tech-7-5-120.html", "LA Tech +7.5 -120")</f>
        <v>LA Tech +7.5 -120</v>
      </c>
      <c r="E2947" s="11">
        <v>2.5</v>
      </c>
      <c r="F2947" s="11">
        <v>-1.2</v>
      </c>
      <c r="G2947" s="11" t="s">
        <v>4</v>
      </c>
      <c r="H2947" s="13">
        <v>2083.33</v>
      </c>
      <c r="I2947" s="14">
        <f t="shared" si="106"/>
        <v>3.6458799999999986E-2</v>
      </c>
      <c r="J2947" s="13">
        <f t="shared" si="107"/>
        <v>38226.290000000008</v>
      </c>
    </row>
    <row r="2948" spans="1:10" x14ac:dyDescent="0.25">
      <c r="A2948" s="10">
        <v>40803</v>
      </c>
      <c r="B2948" s="11" t="s">
        <v>8</v>
      </c>
      <c r="C2948" s="11" t="s">
        <v>5</v>
      </c>
      <c r="D2948" s="16" t="str">
        <f>HYPERLINK("https://freddywills.com/pick/3736/oklahoma-3-120.html", "Oklahoma -3 -120")</f>
        <v>Oklahoma -3 -120</v>
      </c>
      <c r="E2948" s="11">
        <v>4</v>
      </c>
      <c r="F2948" s="11">
        <v>-1.2</v>
      </c>
      <c r="G2948" s="11" t="s">
        <v>4</v>
      </c>
      <c r="H2948" s="13">
        <v>3333.33</v>
      </c>
      <c r="I2948" s="14">
        <f t="shared" si="106"/>
        <v>1.5625499999999987E-2</v>
      </c>
      <c r="J2948" s="13">
        <f t="shared" si="107"/>
        <v>36142.960000000006</v>
      </c>
    </row>
    <row r="2949" spans="1:10" x14ac:dyDescent="0.25">
      <c r="A2949" s="10">
        <v>40802</v>
      </c>
      <c r="B2949" s="11" t="s">
        <v>8</v>
      </c>
      <c r="C2949" s="11" t="s">
        <v>7</v>
      </c>
      <c r="D2949" s="16" t="str">
        <f>HYPERLINK("https://freddywills.com/pick/3737/ct-iast-u45.html", "CT/IAST U45")</f>
        <v>CT/IAST U45</v>
      </c>
      <c r="E2949" s="11">
        <v>4.4000000000000004</v>
      </c>
      <c r="F2949" s="11">
        <v>-1.1000000000000001</v>
      </c>
      <c r="G2949" s="11" t="s">
        <v>4</v>
      </c>
      <c r="H2949" s="13">
        <v>4000</v>
      </c>
      <c r="I2949" s="14">
        <f t="shared" si="106"/>
        <v>-1.770780000000001E-2</v>
      </c>
      <c r="J2949" s="13">
        <f t="shared" si="107"/>
        <v>32809.630000000005</v>
      </c>
    </row>
    <row r="2950" spans="1:10" x14ac:dyDescent="0.25">
      <c r="A2950" s="10">
        <v>40801</v>
      </c>
      <c r="B2950" s="11" t="s">
        <v>8</v>
      </c>
      <c r="C2950" s="11" t="s">
        <v>7</v>
      </c>
      <c r="D2950" s="16" t="str">
        <f>HYPERLINK("https://freddywills.com/pick/3740/lsu-miss-st-u51.html", "LSU/MISS ST U51")</f>
        <v>LSU/MISS ST U51</v>
      </c>
      <c r="E2950" s="11">
        <v>4.4000000000000004</v>
      </c>
      <c r="F2950" s="11">
        <v>-1.1000000000000001</v>
      </c>
      <c r="G2950" s="11" t="s">
        <v>4</v>
      </c>
      <c r="H2950" s="13">
        <v>4000</v>
      </c>
      <c r="I2950" s="14">
        <f t="shared" si="106"/>
        <v>-5.770780000000001E-2</v>
      </c>
      <c r="J2950" s="13">
        <f t="shared" si="107"/>
        <v>28809.63</v>
      </c>
    </row>
    <row r="2951" spans="1:10" x14ac:dyDescent="0.25">
      <c r="A2951" s="10">
        <v>40801</v>
      </c>
      <c r="B2951" s="11" t="s">
        <v>8</v>
      </c>
      <c r="C2951" s="11" t="s">
        <v>5</v>
      </c>
      <c r="D2951" s="16" t="str">
        <f>HYPERLINK("https://freddywills.com/pick/3741/lsu-2-5-125.html", "LSU -2.5 -125")</f>
        <v>LSU -2.5 -125</v>
      </c>
      <c r="E2951" s="11">
        <v>3</v>
      </c>
      <c r="F2951" s="11">
        <v>-1.25</v>
      </c>
      <c r="G2951" s="11" t="s">
        <v>4</v>
      </c>
      <c r="H2951" s="13">
        <v>2400</v>
      </c>
      <c r="I2951" s="14">
        <f t="shared" si="106"/>
        <v>-9.7707800000000011E-2</v>
      </c>
      <c r="J2951" s="13">
        <f t="shared" si="107"/>
        <v>24809.63</v>
      </c>
    </row>
    <row r="2952" spans="1:10" x14ac:dyDescent="0.25">
      <c r="A2952" s="10">
        <v>40798</v>
      </c>
      <c r="B2952" s="11" t="s">
        <v>2</v>
      </c>
      <c r="C2952" s="11" t="s">
        <v>7</v>
      </c>
      <c r="D2952" s="16" t="str">
        <f>HYPERLINK("https://freddywills.com/pick/3751/ne-mia-o45-5.html", "NE/MIA O45.5")</f>
        <v>NE/MIA O45.5</v>
      </c>
      <c r="E2952" s="11">
        <v>2.2000000000000002</v>
      </c>
      <c r="F2952" s="11">
        <v>-1.1000000000000001</v>
      </c>
      <c r="G2952" s="11" t="s">
        <v>4</v>
      </c>
      <c r="H2952" s="13">
        <v>2000</v>
      </c>
      <c r="I2952" s="14">
        <f t="shared" si="106"/>
        <v>-0.12170780000000002</v>
      </c>
      <c r="J2952" s="13">
        <f t="shared" si="107"/>
        <v>22409.63</v>
      </c>
    </row>
    <row r="2953" spans="1:10" x14ac:dyDescent="0.25">
      <c r="A2953" s="10">
        <v>40798</v>
      </c>
      <c r="B2953" s="11" t="s">
        <v>2</v>
      </c>
      <c r="C2953" s="11" t="s">
        <v>5</v>
      </c>
      <c r="D2953" s="16" t="str">
        <f>HYPERLINK("https://freddywills.com/pick/3752/broncos-3.html", "Broncos -3")</f>
        <v>Broncos -3</v>
      </c>
      <c r="E2953" s="11">
        <v>4.5</v>
      </c>
      <c r="F2953" s="11">
        <v>-1.1000000000000001</v>
      </c>
      <c r="G2953" s="11" t="s">
        <v>6</v>
      </c>
      <c r="H2953" s="13">
        <v>-4500</v>
      </c>
      <c r="I2953" s="14">
        <f t="shared" si="106"/>
        <v>-0.14170780000000002</v>
      </c>
      <c r="J2953" s="13">
        <f t="shared" si="107"/>
        <v>20409.63</v>
      </c>
    </row>
    <row r="2954" spans="1:10" x14ac:dyDescent="0.25">
      <c r="A2954" s="10">
        <v>40797</v>
      </c>
      <c r="B2954" s="11" t="s">
        <v>2</v>
      </c>
      <c r="C2954" s="11" t="s">
        <v>5</v>
      </c>
      <c r="D2954" s="16" t="str">
        <f>HYPERLINK("https://freddywills.com/pick/3754/bills-6.html", "Bills +6")</f>
        <v>Bills +6</v>
      </c>
      <c r="E2954" s="11">
        <v>1.5</v>
      </c>
      <c r="F2954" s="11">
        <v>-1.1000000000000001</v>
      </c>
      <c r="G2954" s="11" t="s">
        <v>4</v>
      </c>
      <c r="H2954" s="13">
        <v>1363.64</v>
      </c>
      <c r="I2954" s="14">
        <f t="shared" si="106"/>
        <v>-9.6707800000000024E-2</v>
      </c>
      <c r="J2954" s="13">
        <f t="shared" si="107"/>
        <v>24909.63</v>
      </c>
    </row>
    <row r="2955" spans="1:10" x14ac:dyDescent="0.25">
      <c r="A2955" s="10">
        <v>40797</v>
      </c>
      <c r="B2955" s="11" t="s">
        <v>2</v>
      </c>
      <c r="C2955" s="11" t="s">
        <v>18</v>
      </c>
      <c r="D2955" s="16" t="str">
        <f>HYPERLINK("https://freddywills.com/pick/3755/bills-210.html", "Bills +210")</f>
        <v>Bills +210</v>
      </c>
      <c r="E2955" s="11">
        <v>1.5</v>
      </c>
      <c r="F2955" s="11">
        <v>2.1</v>
      </c>
      <c r="G2955" s="11" t="s">
        <v>4</v>
      </c>
      <c r="H2955" s="13">
        <v>3150</v>
      </c>
      <c r="I2955" s="14">
        <f t="shared" si="106"/>
        <v>-0.11034420000000003</v>
      </c>
      <c r="J2955" s="13">
        <f t="shared" si="107"/>
        <v>23545.99</v>
      </c>
    </row>
    <row r="2956" spans="1:10" x14ac:dyDescent="0.25">
      <c r="A2956" s="10">
        <v>40797</v>
      </c>
      <c r="B2956" s="11" t="s">
        <v>2</v>
      </c>
      <c r="C2956" s="11" t="s">
        <v>7</v>
      </c>
      <c r="D2956" s="16" t="str">
        <f>HYPERLINK("https://freddywills.com/pick/3756/nyj-dal-u41-5.html", "NYJ/DAL U41.5")</f>
        <v>NYJ/DAL U41.5</v>
      </c>
      <c r="E2956" s="11">
        <v>3.3</v>
      </c>
      <c r="F2956" s="11">
        <v>-1.1000000000000001</v>
      </c>
      <c r="G2956" s="11" t="s">
        <v>6</v>
      </c>
      <c r="H2956" s="13">
        <v>-3300</v>
      </c>
      <c r="I2956" s="14">
        <f t="shared" si="106"/>
        <v>-0.14184420000000003</v>
      </c>
      <c r="J2956" s="13">
        <f t="shared" si="107"/>
        <v>20395.990000000002</v>
      </c>
    </row>
    <row r="2957" spans="1:10" x14ac:dyDescent="0.25">
      <c r="A2957" s="10">
        <v>40797</v>
      </c>
      <c r="B2957" s="11" t="s">
        <v>2</v>
      </c>
      <c r="C2957" s="11" t="s">
        <v>5</v>
      </c>
      <c r="D2957" s="16" t="str">
        <f>HYPERLINK("https://freddywills.com/pick/3757/redskins-3.html", "Redskins +3")</f>
        <v>Redskins +3</v>
      </c>
      <c r="E2957" s="11">
        <v>3</v>
      </c>
      <c r="F2957" s="11">
        <v>-1.1000000000000001</v>
      </c>
      <c r="G2957" s="11" t="s">
        <v>4</v>
      </c>
      <c r="H2957" s="13">
        <v>2727.27</v>
      </c>
      <c r="I2957" s="14">
        <f t="shared" si="106"/>
        <v>-0.10884420000000002</v>
      </c>
      <c r="J2957" s="13">
        <f t="shared" si="107"/>
        <v>23695.99</v>
      </c>
    </row>
    <row r="2958" spans="1:10" x14ac:dyDescent="0.25">
      <c r="A2958" s="10">
        <v>40797</v>
      </c>
      <c r="B2958" s="11" t="s">
        <v>2</v>
      </c>
      <c r="C2958" s="11" t="s">
        <v>18</v>
      </c>
      <c r="D2958" s="16" t="str">
        <f>HYPERLINK("https://freddywills.com/pick/3758/steelers-100.html", "Steelers +100")</f>
        <v>Steelers +100</v>
      </c>
      <c r="E2958" s="11">
        <v>4</v>
      </c>
      <c r="F2958" s="11">
        <v>1</v>
      </c>
      <c r="G2958" s="11" t="s">
        <v>6</v>
      </c>
      <c r="H2958" s="13">
        <v>-4000</v>
      </c>
      <c r="I2958" s="14">
        <f t="shared" si="106"/>
        <v>-0.13611690000000001</v>
      </c>
      <c r="J2958" s="13">
        <f t="shared" si="107"/>
        <v>20968.72</v>
      </c>
    </row>
    <row r="2959" spans="1:10" x14ac:dyDescent="0.25">
      <c r="A2959" s="10">
        <v>40797</v>
      </c>
      <c r="B2959" s="11" t="s">
        <v>2</v>
      </c>
      <c r="C2959" s="11" t="s">
        <v>5</v>
      </c>
      <c r="D2959" s="16" t="str">
        <f>HYPERLINK("https://freddywills.com/pick/3759/falcons-1-5.html", "Falcons -1.5")</f>
        <v>Falcons -1.5</v>
      </c>
      <c r="E2959" s="11">
        <v>5.5</v>
      </c>
      <c r="F2959" s="11">
        <v>-1.1000000000000001</v>
      </c>
      <c r="G2959" s="11" t="s">
        <v>6</v>
      </c>
      <c r="H2959" s="13">
        <v>-5500</v>
      </c>
      <c r="I2959" s="14">
        <f t="shared" si="106"/>
        <v>-9.6116900000000019E-2</v>
      </c>
      <c r="J2959" s="13">
        <f t="shared" si="107"/>
        <v>24968.720000000001</v>
      </c>
    </row>
    <row r="2960" spans="1:10" x14ac:dyDescent="0.25">
      <c r="A2960" s="10">
        <v>40797</v>
      </c>
      <c r="B2960" s="11" t="s">
        <v>2</v>
      </c>
      <c r="C2960" s="11" t="s">
        <v>5</v>
      </c>
      <c r="D2960" s="16" t="str">
        <f>HYPERLINK("https://freddywills.com/pick/3760/rams-4-5.html", "Rams +4.5")</f>
        <v>Rams +4.5</v>
      </c>
      <c r="E2960" s="11">
        <v>3.3</v>
      </c>
      <c r="F2960" s="11">
        <v>-1.1000000000000001</v>
      </c>
      <c r="G2960" s="11" t="s">
        <v>6</v>
      </c>
      <c r="H2960" s="13">
        <v>-3300</v>
      </c>
      <c r="I2960" s="14">
        <f t="shared" si="106"/>
        <v>-4.1116900000000019E-2</v>
      </c>
      <c r="J2960" s="13">
        <f t="shared" si="107"/>
        <v>30468.720000000001</v>
      </c>
    </row>
    <row r="2961" spans="1:10" x14ac:dyDescent="0.25">
      <c r="A2961" s="10">
        <v>40796</v>
      </c>
      <c r="B2961" s="11" t="s">
        <v>8</v>
      </c>
      <c r="C2961" s="11" t="s">
        <v>18</v>
      </c>
      <c r="D2961" s="16" t="str">
        <f>HYPERLINK("https://freddywills.com/pick/3761/wisconsin-20.html", "Wisconsin -20")</f>
        <v>Wisconsin -20</v>
      </c>
      <c r="E2961" s="11">
        <v>3.3</v>
      </c>
      <c r="F2961" s="11">
        <v>-1.1000000000000001</v>
      </c>
      <c r="G2961" s="11" t="s">
        <v>4</v>
      </c>
      <c r="H2961" s="13">
        <v>3000</v>
      </c>
      <c r="I2961" s="14">
        <f t="shared" si="106"/>
        <v>-8.1169000000000172E-3</v>
      </c>
      <c r="J2961" s="13">
        <f t="shared" si="107"/>
        <v>33768.720000000001</v>
      </c>
    </row>
    <row r="2962" spans="1:10" x14ac:dyDescent="0.25">
      <c r="A2962" s="10">
        <v>40796</v>
      </c>
      <c r="B2962" s="11" t="s">
        <v>8</v>
      </c>
      <c r="C2962" s="11" t="s">
        <v>18</v>
      </c>
      <c r="D2962" s="16" t="str">
        <f>HYPERLINK("https://freddywills.com/pick/3762/marshall-7-5-105.html", "Marshall +7.5 -105")</f>
        <v>Marshall +7.5 -105</v>
      </c>
      <c r="E2962" s="11">
        <v>4</v>
      </c>
      <c r="F2962" s="11">
        <v>-1.05</v>
      </c>
      <c r="G2962" s="11" t="s">
        <v>4</v>
      </c>
      <c r="H2962" s="13">
        <v>3809.52</v>
      </c>
      <c r="I2962" s="14">
        <f t="shared" si="106"/>
        <v>-3.8116900000000016E-2</v>
      </c>
      <c r="J2962" s="13">
        <f t="shared" si="107"/>
        <v>30768.719999999998</v>
      </c>
    </row>
    <row r="2963" spans="1:10" x14ac:dyDescent="0.25">
      <c r="A2963" s="10">
        <v>40796</v>
      </c>
      <c r="B2963" s="11" t="s">
        <v>8</v>
      </c>
      <c r="C2963" s="11" t="s">
        <v>18</v>
      </c>
      <c r="D2963" s="16" t="str">
        <f>HYPERLINK("https://freddywills.com/pick/3764/byu-7-5-120.html", "Byu +7.5 -120")</f>
        <v>Byu +7.5 -120</v>
      </c>
      <c r="E2963" s="11">
        <v>3.5</v>
      </c>
      <c r="F2963" s="11">
        <v>-1.2</v>
      </c>
      <c r="G2963" s="11" t="s">
        <v>4</v>
      </c>
      <c r="H2963" s="13">
        <v>2916.67</v>
      </c>
      <c r="I2963" s="14">
        <f t="shared" si="106"/>
        <v>-7.6212100000000019E-2</v>
      </c>
      <c r="J2963" s="13">
        <f t="shared" si="107"/>
        <v>26959.199999999997</v>
      </c>
    </row>
    <row r="2964" spans="1:10" x14ac:dyDescent="0.25">
      <c r="A2964" s="10">
        <v>40796</v>
      </c>
      <c r="B2964" s="11" t="s">
        <v>8</v>
      </c>
      <c r="C2964" s="11" t="s">
        <v>18</v>
      </c>
      <c r="D2964" s="16" t="str">
        <f>HYPERLINK("https://freddywills.com/pick/3765/houston-21-120.html", "Houston -21 -120")</f>
        <v>Houston -21 -120</v>
      </c>
      <c r="E2964" s="11">
        <v>3</v>
      </c>
      <c r="F2964" s="11">
        <v>-1.2</v>
      </c>
      <c r="G2964" s="11" t="s">
        <v>4</v>
      </c>
      <c r="H2964" s="13">
        <v>2500</v>
      </c>
      <c r="I2964" s="14">
        <f t="shared" si="106"/>
        <v>-0.10537880000000002</v>
      </c>
      <c r="J2964" s="13">
        <f t="shared" si="107"/>
        <v>24042.529999999995</v>
      </c>
    </row>
    <row r="2965" spans="1:10" x14ac:dyDescent="0.25">
      <c r="A2965" s="10">
        <v>40796</v>
      </c>
      <c r="B2965" s="11" t="s">
        <v>8</v>
      </c>
      <c r="C2965" s="11" t="s">
        <v>5</v>
      </c>
      <c r="D2965" s="16" t="str">
        <f>HYPERLINK("https://freddywills.com/pick/3766/utah-9.html", "Utah +9")</f>
        <v>Utah +9</v>
      </c>
      <c r="E2965" s="11">
        <v>5</v>
      </c>
      <c r="F2965" s="11">
        <v>-1.1000000000000001</v>
      </c>
      <c r="G2965" s="11" t="s">
        <v>4</v>
      </c>
      <c r="H2965" s="13">
        <v>4545.45</v>
      </c>
      <c r="I2965" s="14">
        <f t="shared" si="106"/>
        <v>-0.13037880000000002</v>
      </c>
      <c r="J2965" s="13">
        <f t="shared" si="107"/>
        <v>21542.529999999995</v>
      </c>
    </row>
    <row r="2966" spans="1:10" x14ac:dyDescent="0.25">
      <c r="A2966" s="10">
        <v>40796</v>
      </c>
      <c r="B2966" s="11" t="s">
        <v>8</v>
      </c>
      <c r="C2966" s="11" t="s">
        <v>18</v>
      </c>
      <c r="D2966" s="16" t="str">
        <f>HYPERLINK("https://freddywills.com/pick/3767/notredame-2-5wow.html", "Notredame -2.5wow")</f>
        <v>Notredame -2.5wow</v>
      </c>
      <c r="E2966" s="11">
        <v>2.5</v>
      </c>
      <c r="F2966" s="11">
        <v>-1.1000000000000001</v>
      </c>
      <c r="G2966" s="11" t="s">
        <v>6</v>
      </c>
      <c r="H2966" s="13">
        <v>-2500</v>
      </c>
      <c r="I2966" s="14">
        <f t="shared" si="106"/>
        <v>-0.1758333</v>
      </c>
      <c r="J2966" s="13">
        <f t="shared" si="107"/>
        <v>16997.079999999994</v>
      </c>
    </row>
    <row r="2967" spans="1:10" x14ac:dyDescent="0.25">
      <c r="A2967" s="10">
        <v>40795</v>
      </c>
      <c r="B2967" s="11" t="s">
        <v>8</v>
      </c>
      <c r="C2967" s="11" t="s">
        <v>10</v>
      </c>
      <c r="D2967" s="16" t="str">
        <f>HYPERLINK("https://freddywills.com/pick/3768/asu-3-u58.html", "ASU -3/U58")</f>
        <v>ASU -3/U58</v>
      </c>
      <c r="E2967" s="11">
        <v>4.4000000000000004</v>
      </c>
      <c r="F2967" s="11">
        <v>-1.1000000000000001</v>
      </c>
      <c r="G2967" s="11" t="s">
        <v>6</v>
      </c>
      <c r="H2967" s="13">
        <v>-4400</v>
      </c>
      <c r="I2967" s="14">
        <f t="shared" si="106"/>
        <v>-0.1508333</v>
      </c>
      <c r="J2967" s="13">
        <f t="shared" si="107"/>
        <v>19497.079999999994</v>
      </c>
    </row>
    <row r="2968" spans="1:10" x14ac:dyDescent="0.25">
      <c r="A2968" s="10">
        <v>40794</v>
      </c>
      <c r="B2968" s="11" t="s">
        <v>8</v>
      </c>
      <c r="C2968" s="11" t="s">
        <v>5</v>
      </c>
      <c r="D2968" s="16" t="str">
        <f>HYPERLINK("https://freddywills.com/pick/3772/arizona-14-5.html", "Arizona +14.5")</f>
        <v>Arizona +14.5</v>
      </c>
      <c r="E2968" s="11">
        <v>4.4000000000000004</v>
      </c>
      <c r="F2968" s="11">
        <v>-1.1000000000000001</v>
      </c>
      <c r="G2968" s="11" t="s">
        <v>6</v>
      </c>
      <c r="H2968" s="13">
        <v>-4400</v>
      </c>
      <c r="I2968" s="14">
        <f t="shared" ref="I2968:I2976" si="108">(H2968/100000)+I2969</f>
        <v>-0.10683330000000001</v>
      </c>
      <c r="J2968" s="13">
        <f t="shared" ref="J2968:J2978" si="109">H2968+J2969</f>
        <v>23897.079999999994</v>
      </c>
    </row>
    <row r="2969" spans="1:10" x14ac:dyDescent="0.25">
      <c r="A2969" s="10">
        <v>40794</v>
      </c>
      <c r="B2969" s="11" t="s">
        <v>2</v>
      </c>
      <c r="C2969" s="11" t="s">
        <v>7</v>
      </c>
      <c r="D2969" s="16" t="str">
        <f>HYPERLINK("https://freddywills.com/pick/3773/gb-no-o47-5.html", "GB/NO O47.5")</f>
        <v>GB/NO O47.5</v>
      </c>
      <c r="E2969" s="11">
        <v>4.4000000000000004</v>
      </c>
      <c r="F2969" s="11">
        <v>-1.1000000000000001</v>
      </c>
      <c r="G2969" s="11" t="s">
        <v>4</v>
      </c>
      <c r="H2969" s="13">
        <v>4000</v>
      </c>
      <c r="I2969" s="14">
        <f t="shared" si="108"/>
        <v>-6.2833300000000009E-2</v>
      </c>
      <c r="J2969" s="13">
        <f t="shared" si="109"/>
        <v>28297.079999999994</v>
      </c>
    </row>
    <row r="2970" spans="1:10" x14ac:dyDescent="0.25">
      <c r="A2970" s="10">
        <v>40794</v>
      </c>
      <c r="B2970" s="11" t="s">
        <v>2</v>
      </c>
      <c r="C2970" s="11" t="s">
        <v>5</v>
      </c>
      <c r="D2970" s="16" t="str">
        <f>HYPERLINK("https://freddywills.com/pick/3777/saints-5.html", "Saints +5")</f>
        <v>Saints +5</v>
      </c>
      <c r="E2970" s="11">
        <v>3</v>
      </c>
      <c r="F2970" s="11">
        <v>-1.1000000000000001</v>
      </c>
      <c r="G2970" s="11" t="s">
        <v>6</v>
      </c>
      <c r="H2970" s="13">
        <v>-3000</v>
      </c>
      <c r="I2970" s="14">
        <f t="shared" si="108"/>
        <v>-0.10283330000000002</v>
      </c>
      <c r="J2970" s="13">
        <f t="shared" si="109"/>
        <v>24297.079999999994</v>
      </c>
    </row>
    <row r="2971" spans="1:10" x14ac:dyDescent="0.25">
      <c r="A2971" s="10">
        <v>40790</v>
      </c>
      <c r="B2971" s="11" t="s">
        <v>8</v>
      </c>
      <c r="C2971" s="11" t="s">
        <v>5</v>
      </c>
      <c r="D2971" s="16" t="str">
        <f>HYPERLINK("https://freddywills.com/pick/3784/smu-15-5.html", "SMU +15.5")</f>
        <v>SMU +15.5</v>
      </c>
      <c r="E2971" s="11">
        <v>4</v>
      </c>
      <c r="F2971" s="11">
        <v>-1.1000000000000001</v>
      </c>
      <c r="G2971" s="11" t="s">
        <v>6</v>
      </c>
      <c r="H2971" s="13">
        <v>-4000</v>
      </c>
      <c r="I2971" s="14">
        <f t="shared" si="108"/>
        <v>-7.2833300000000017E-2</v>
      </c>
      <c r="J2971" s="13">
        <f t="shared" si="109"/>
        <v>27297.079999999994</v>
      </c>
    </row>
    <row r="2972" spans="1:10" x14ac:dyDescent="0.25">
      <c r="A2972" s="10">
        <v>40789</v>
      </c>
      <c r="B2972" s="11" t="s">
        <v>8</v>
      </c>
      <c r="C2972" s="11" t="s">
        <v>5</v>
      </c>
      <c r="D2972" s="16" t="str">
        <f>HYPERLINK("https://freddywills.com/pick/3789/houston-2-5.html", "Houston -2.5")</f>
        <v>Houston -2.5</v>
      </c>
      <c r="E2972" s="11">
        <v>3.3</v>
      </c>
      <c r="F2972" s="11">
        <v>-1.1000000000000001</v>
      </c>
      <c r="G2972" s="11" t="s">
        <v>4</v>
      </c>
      <c r="H2972" s="13">
        <v>3000</v>
      </c>
      <c r="I2972" s="14">
        <f t="shared" si="108"/>
        <v>-3.283330000000001E-2</v>
      </c>
      <c r="J2972" s="13">
        <f t="shared" si="109"/>
        <v>31297.079999999994</v>
      </c>
    </row>
    <row r="2973" spans="1:10" x14ac:dyDescent="0.25">
      <c r="A2973" s="10">
        <v>40789</v>
      </c>
      <c r="B2973" s="11" t="s">
        <v>8</v>
      </c>
      <c r="C2973" s="11" t="s">
        <v>5</v>
      </c>
      <c r="D2973" s="16" t="str">
        <f>HYPERLINK("https://freddywills.com/pick/3790/georgia-3.html", "Georgia +3")</f>
        <v>Georgia +3</v>
      </c>
      <c r="E2973" s="11">
        <v>5.5</v>
      </c>
      <c r="F2973" s="11">
        <v>-1.1000000000000001</v>
      </c>
      <c r="G2973" s="11" t="s">
        <v>6</v>
      </c>
      <c r="H2973" s="13">
        <v>-5500</v>
      </c>
      <c r="I2973" s="14">
        <f t="shared" si="108"/>
        <v>-6.2833300000000009E-2</v>
      </c>
      <c r="J2973" s="13">
        <f t="shared" si="109"/>
        <v>28297.079999999994</v>
      </c>
    </row>
    <row r="2974" spans="1:10" x14ac:dyDescent="0.25">
      <c r="A2974" s="10">
        <v>40789</v>
      </c>
      <c r="B2974" s="11" t="s">
        <v>8</v>
      </c>
      <c r="C2974" s="11" t="s">
        <v>18</v>
      </c>
      <c r="D2974" s="16" t="str">
        <f>HYPERLINK("https://freddywills.com/pick/3791/indiana-5-5.html", "Indiana -5.5")</f>
        <v>Indiana -5.5</v>
      </c>
      <c r="E2974" s="11">
        <v>4</v>
      </c>
      <c r="F2974" s="11">
        <v>-1.1000000000000001</v>
      </c>
      <c r="G2974" s="11" t="s">
        <v>6</v>
      </c>
      <c r="H2974" s="13">
        <v>-4000</v>
      </c>
      <c r="I2974" s="14">
        <f t="shared" si="108"/>
        <v>-7.8333000000000014E-3</v>
      </c>
      <c r="J2974" s="13">
        <f t="shared" si="109"/>
        <v>33797.079999999994</v>
      </c>
    </row>
    <row r="2975" spans="1:10" x14ac:dyDescent="0.25">
      <c r="A2975" s="10">
        <v>40789</v>
      </c>
      <c r="B2975" s="11" t="s">
        <v>8</v>
      </c>
      <c r="C2975" s="11" t="s">
        <v>5</v>
      </c>
      <c r="D2975" s="16" t="str">
        <f>HYPERLINK("https://freddywills.com/pick/3792/south-florida-11.html", "South Florida +11")</f>
        <v>South Florida +11</v>
      </c>
      <c r="E2975" s="11">
        <v>1.1000000000000001</v>
      </c>
      <c r="F2975" s="11">
        <v>-1.1000000000000001</v>
      </c>
      <c r="G2975" s="11" t="s">
        <v>4</v>
      </c>
      <c r="H2975" s="13">
        <v>1000</v>
      </c>
      <c r="I2975" s="14">
        <f t="shared" si="108"/>
        <v>3.2166699999999999E-2</v>
      </c>
      <c r="J2975" s="13">
        <f t="shared" si="109"/>
        <v>37797.079999999994</v>
      </c>
    </row>
    <row r="2976" spans="1:10" x14ac:dyDescent="0.25">
      <c r="A2976" s="10">
        <v>40789</v>
      </c>
      <c r="B2976" s="11" t="s">
        <v>8</v>
      </c>
      <c r="C2976" s="11" t="s">
        <v>5</v>
      </c>
      <c r="D2976" s="16" t="str">
        <f>HYPERLINK("https://freddywills.com/pick/3793/lsu-4.html", "LSU +4")</f>
        <v>LSU +4</v>
      </c>
      <c r="E2976" s="11">
        <v>3.3</v>
      </c>
      <c r="F2976" s="11">
        <v>-1.1000000000000001</v>
      </c>
      <c r="G2976" s="11" t="s">
        <v>4</v>
      </c>
      <c r="H2976" s="13">
        <v>3000</v>
      </c>
      <c r="I2976" s="14">
        <f t="shared" si="108"/>
        <v>2.2166700000000001E-2</v>
      </c>
      <c r="J2976" s="13">
        <f t="shared" si="109"/>
        <v>36797.079999999994</v>
      </c>
    </row>
    <row r="2977" spans="1:10" x14ac:dyDescent="0.25">
      <c r="A2977" s="10">
        <v>40789</v>
      </c>
      <c r="B2977" s="11" t="s">
        <v>8</v>
      </c>
      <c r="C2977" s="11" t="s">
        <v>5</v>
      </c>
      <c r="D2977" s="16" t="str">
        <f>HYPERLINK("https://freddywills.com/pick/3794/texas-24-120.html", "TEXAS -24 -120")</f>
        <v>TEXAS -24 -120</v>
      </c>
      <c r="E2977" s="11">
        <v>3.5</v>
      </c>
      <c r="F2977" s="11">
        <v>-1.2</v>
      </c>
      <c r="G2977" s="11" t="s">
        <v>4</v>
      </c>
      <c r="H2977" s="13">
        <v>2916.67</v>
      </c>
      <c r="I2977" s="14">
        <f>(H2977/100000)+I2978</f>
        <v>-7.8332999999999979E-3</v>
      </c>
      <c r="J2977" s="13">
        <f t="shared" si="109"/>
        <v>33797.079999999994</v>
      </c>
    </row>
    <row r="2978" spans="1:10" x14ac:dyDescent="0.25">
      <c r="A2978" s="10">
        <v>40788</v>
      </c>
      <c r="B2978" s="11" t="s">
        <v>8</v>
      </c>
      <c r="C2978" s="11" t="s">
        <v>5</v>
      </c>
      <c r="D2978" s="16" t="str">
        <f>HYPERLINK("https://freddywills.com/pick/3795/baylor-4.html", "Baylor +4")</f>
        <v>Baylor +4</v>
      </c>
      <c r="E2978" s="11">
        <v>4.4000000000000004</v>
      </c>
      <c r="F2978" s="11">
        <v>-1.1000000000000001</v>
      </c>
      <c r="G2978" s="11" t="s">
        <v>4</v>
      </c>
      <c r="H2978" s="13">
        <v>4000</v>
      </c>
      <c r="I2978" s="14">
        <f>(H2978/100000)+I2979</f>
        <v>-3.6999999999999998E-2</v>
      </c>
      <c r="J2978" s="13">
        <f t="shared" si="109"/>
        <v>30880.409999999996</v>
      </c>
    </row>
    <row r="2979" spans="1:10" x14ac:dyDescent="0.25">
      <c r="A2979" s="10">
        <v>40787</v>
      </c>
      <c r="B2979" s="11" t="s">
        <v>8</v>
      </c>
      <c r="C2979" s="11" t="s">
        <v>5</v>
      </c>
      <c r="D2979" s="16" t="str">
        <f>HYPERLINK("https://freddywills.com/pick/3801/idaho-6.html", "Idaho -6")</f>
        <v>Idaho -6</v>
      </c>
      <c r="E2979" s="11">
        <v>4.4000000000000004</v>
      </c>
      <c r="F2979" s="11">
        <v>-1.1000000000000001</v>
      </c>
      <c r="G2979" s="11" t="s">
        <v>6</v>
      </c>
      <c r="H2979" s="13">
        <v>-4400</v>
      </c>
      <c r="I2979" s="14">
        <f>(H2979/100000)+I2980</f>
        <v>-7.6999999999999999E-2</v>
      </c>
      <c r="J2979" s="13">
        <f>H2979+J2980</f>
        <v>26880.409999999996</v>
      </c>
    </row>
    <row r="2980" spans="1:10" x14ac:dyDescent="0.25">
      <c r="A2980" s="10">
        <v>40775</v>
      </c>
      <c r="B2980" s="11" t="s">
        <v>2</v>
      </c>
      <c r="C2980" s="11" t="s">
        <v>5</v>
      </c>
      <c r="D2980" s="16" t="str">
        <f>HYPERLINK("https://freddywills.com/pick/3834/eagles-3.html", "Eagles -3")</f>
        <v>Eagles -3</v>
      </c>
      <c r="E2980" s="11">
        <v>3.3</v>
      </c>
      <c r="F2980" s="11">
        <v>-1.1000000000000001</v>
      </c>
      <c r="G2980" s="11" t="s">
        <v>6</v>
      </c>
      <c r="H2980" s="13">
        <v>-3300</v>
      </c>
      <c r="I2980" s="14">
        <f>H2980/100000</f>
        <v>-3.3000000000000002E-2</v>
      </c>
      <c r="J2980" s="13">
        <f>H2980+J2983</f>
        <v>31280.409999999996</v>
      </c>
    </row>
    <row r="2981" spans="1:10" x14ac:dyDescent="0.25">
      <c r="A2981" s="17" t="s">
        <v>22</v>
      </c>
      <c r="B2981" s="18"/>
      <c r="C2981" s="18"/>
      <c r="D2981" s="18"/>
      <c r="E2981" s="18"/>
      <c r="F2981" s="18"/>
      <c r="G2981" s="18"/>
      <c r="H2981" s="18"/>
      <c r="I2981" s="19">
        <v>100000</v>
      </c>
      <c r="J2981" s="17"/>
    </row>
    <row r="2982" spans="1:10" x14ac:dyDescent="0.25">
      <c r="A2982" s="8" t="s">
        <v>20</v>
      </c>
      <c r="B2982" s="9"/>
      <c r="C2982" s="9"/>
      <c r="D2982" s="9"/>
      <c r="E2982" s="9"/>
      <c r="F2982" s="9"/>
      <c r="G2982" s="9"/>
      <c r="H2982" s="9"/>
      <c r="I2982" s="9"/>
      <c r="J2982" s="9"/>
    </row>
    <row r="2983" spans="1:10" x14ac:dyDescent="0.25">
      <c r="A2983" s="10">
        <v>40580</v>
      </c>
      <c r="B2983" s="11" t="s">
        <v>2</v>
      </c>
      <c r="C2983" s="11" t="s">
        <v>3</v>
      </c>
      <c r="D2983" s="16" t="str">
        <f>HYPERLINK("https://freddywills.com/pick/4447/prop-package.html", "Prop Package")</f>
        <v>Prop Package</v>
      </c>
      <c r="E2983" s="11">
        <v>14.65</v>
      </c>
      <c r="F2983" s="11">
        <v>-1.1000000000000001</v>
      </c>
      <c r="G2983" s="11" t="s">
        <v>6</v>
      </c>
      <c r="H2983" s="13">
        <v>-5220</v>
      </c>
      <c r="I2983" s="14">
        <f t="shared" ref="I2983:I3046" si="110">H2983/100000+I2984</f>
        <v>0.14054170000000019</v>
      </c>
      <c r="J2983" s="13">
        <f t="shared" ref="J2983:J3046" si="111">H2983+J2984</f>
        <v>34580.409999999996</v>
      </c>
    </row>
    <row r="2984" spans="1:10" x14ac:dyDescent="0.25">
      <c r="A2984" s="10">
        <v>40580</v>
      </c>
      <c r="B2984" s="11" t="s">
        <v>2</v>
      </c>
      <c r="C2984" s="11" t="s">
        <v>5</v>
      </c>
      <c r="D2984" s="16" t="str">
        <f>HYPERLINK("https://freddywills.com/pick/4448/packers-2-5.html", "Packers -2.5")</f>
        <v>Packers -2.5</v>
      </c>
      <c r="E2984" s="11">
        <v>5.5</v>
      </c>
      <c r="F2984" s="11">
        <v>-1.1000000000000001</v>
      </c>
      <c r="G2984" s="11" t="s">
        <v>4</v>
      </c>
      <c r="H2984" s="13">
        <v>5000</v>
      </c>
      <c r="I2984" s="14">
        <f t="shared" si="110"/>
        <v>0.19274170000000018</v>
      </c>
      <c r="J2984" s="13">
        <f t="shared" si="111"/>
        <v>39800.409999999996</v>
      </c>
    </row>
    <row r="2985" spans="1:10" x14ac:dyDescent="0.25">
      <c r="A2985" s="10">
        <v>40573</v>
      </c>
      <c r="B2985" s="11" t="s">
        <v>2</v>
      </c>
      <c r="C2985" s="11" t="s">
        <v>5</v>
      </c>
      <c r="D2985" s="16" t="str">
        <f>HYPERLINK("https://freddywills.com/pick/4478/afc-pk.html", "AFC pk")</f>
        <v>AFC pk</v>
      </c>
      <c r="E2985" s="11">
        <v>3.3</v>
      </c>
      <c r="F2985" s="11">
        <v>-1.1000000000000001</v>
      </c>
      <c r="G2985" s="11" t="s">
        <v>6</v>
      </c>
      <c r="H2985" s="13">
        <v>-3300</v>
      </c>
      <c r="I2985" s="14">
        <f t="shared" si="110"/>
        <v>0.14274170000000017</v>
      </c>
      <c r="J2985" s="13">
        <f t="shared" si="111"/>
        <v>34800.409999999996</v>
      </c>
    </row>
    <row r="2986" spans="1:10" x14ac:dyDescent="0.25">
      <c r="A2986" s="10">
        <v>40566</v>
      </c>
      <c r="B2986" s="11" t="s">
        <v>2</v>
      </c>
      <c r="C2986" s="11" t="s">
        <v>5</v>
      </c>
      <c r="D2986" s="16" t="str">
        <f>HYPERLINK("https://freddywills.com/pick/4502/packers-3-120.html", "Packers -3 -120")</f>
        <v>Packers -3 -120</v>
      </c>
      <c r="E2986" s="11">
        <v>5.5</v>
      </c>
      <c r="F2986" s="11">
        <v>-1.2</v>
      </c>
      <c r="G2986" s="11" t="s">
        <v>4</v>
      </c>
      <c r="H2986" s="13">
        <v>4583.33</v>
      </c>
      <c r="I2986" s="14">
        <f t="shared" si="110"/>
        <v>0.17574170000000017</v>
      </c>
      <c r="J2986" s="13">
        <f t="shared" si="111"/>
        <v>38100.409999999996</v>
      </c>
    </row>
    <row r="2987" spans="1:10" x14ac:dyDescent="0.25">
      <c r="A2987" s="10">
        <v>40559</v>
      </c>
      <c r="B2987" s="11" t="s">
        <v>2</v>
      </c>
      <c r="C2987" s="11" t="s">
        <v>5</v>
      </c>
      <c r="D2987" s="16" t="str">
        <f>HYPERLINK("https://freddywills.com/pick/4528/seahawks-10-5.html", "Seahawks +10.5")</f>
        <v>Seahawks +10.5</v>
      </c>
      <c r="E2987" s="11">
        <v>2.2000000000000002</v>
      </c>
      <c r="F2987" s="11">
        <v>-1.1000000000000001</v>
      </c>
      <c r="G2987" s="11" t="s">
        <v>6</v>
      </c>
      <c r="H2987" s="13">
        <v>-2200</v>
      </c>
      <c r="I2987" s="14">
        <f t="shared" si="110"/>
        <v>0.12990840000000017</v>
      </c>
      <c r="J2987" s="13">
        <f t="shared" si="111"/>
        <v>33517.079999999994</v>
      </c>
    </row>
    <row r="2988" spans="1:10" x14ac:dyDescent="0.25">
      <c r="A2988" s="10">
        <v>40559</v>
      </c>
      <c r="B2988" s="11" t="s">
        <v>2</v>
      </c>
      <c r="C2988" s="11" t="s">
        <v>10</v>
      </c>
      <c r="D2988" s="16" t="str">
        <f>HYPERLINK("https://freddywills.com/pick/4529/seahawks-16-u49.html", "Seahawks +16 U49")</f>
        <v>Seahawks +16 U49</v>
      </c>
      <c r="E2988" s="11">
        <v>4.4000000000000004</v>
      </c>
      <c r="F2988" s="11">
        <v>-1.1000000000000001</v>
      </c>
      <c r="G2988" s="11" t="s">
        <v>6</v>
      </c>
      <c r="H2988" s="13">
        <v>-4400</v>
      </c>
      <c r="I2988" s="14">
        <f t="shared" si="110"/>
        <v>0.15190840000000017</v>
      </c>
      <c r="J2988" s="13">
        <f t="shared" si="111"/>
        <v>35717.079999999994</v>
      </c>
    </row>
    <row r="2989" spans="1:10" x14ac:dyDescent="0.25">
      <c r="A2989" s="10">
        <v>40558</v>
      </c>
      <c r="B2989" s="11" t="s">
        <v>2</v>
      </c>
      <c r="C2989" s="11" t="s">
        <v>5</v>
      </c>
      <c r="D2989" s="16" t="str">
        <f>HYPERLINK("https://freddywills.com/pick/4530/ravens-3-5.html", "Ravens +3.5")</f>
        <v>Ravens +3.5</v>
      </c>
      <c r="E2989" s="11">
        <v>3.3</v>
      </c>
      <c r="F2989" s="11">
        <v>-1.1000000000000001</v>
      </c>
      <c r="G2989" s="11" t="s">
        <v>6</v>
      </c>
      <c r="H2989" s="13">
        <v>-3300</v>
      </c>
      <c r="I2989" s="14">
        <f t="shared" si="110"/>
        <v>0.19590840000000015</v>
      </c>
      <c r="J2989" s="13">
        <f t="shared" si="111"/>
        <v>40117.079999999994</v>
      </c>
    </row>
    <row r="2990" spans="1:10" x14ac:dyDescent="0.25">
      <c r="A2990" s="10">
        <v>40558</v>
      </c>
      <c r="B2990" s="11" t="s">
        <v>2</v>
      </c>
      <c r="C2990" s="11" t="s">
        <v>5</v>
      </c>
      <c r="D2990" s="16" t="str">
        <f>HYPERLINK("https://freddywills.com/pick/4531/packers-3-120.html", "Packers +3 -120")</f>
        <v>Packers +3 -120</v>
      </c>
      <c r="E2990" s="11">
        <v>5.5</v>
      </c>
      <c r="F2990" s="11">
        <v>-1.2</v>
      </c>
      <c r="G2990" s="11" t="s">
        <v>4</v>
      </c>
      <c r="H2990" s="13">
        <v>4583.33</v>
      </c>
      <c r="I2990" s="14">
        <f t="shared" si="110"/>
        <v>0.22890840000000015</v>
      </c>
      <c r="J2990" s="13">
        <f t="shared" si="111"/>
        <v>43417.079999999994</v>
      </c>
    </row>
    <row r="2991" spans="1:10" x14ac:dyDescent="0.25">
      <c r="A2991" s="10">
        <v>40553</v>
      </c>
      <c r="B2991" s="11" t="s">
        <v>8</v>
      </c>
      <c r="C2991" s="11" t="s">
        <v>5</v>
      </c>
      <c r="D2991" s="16" t="str">
        <f>HYPERLINK("https://freddywills.com/pick/4545/auburn-1-5.html", "Auburn -1.5")</f>
        <v>Auburn -1.5</v>
      </c>
      <c r="E2991" s="11">
        <v>5.5</v>
      </c>
      <c r="F2991" s="11">
        <v>-1.1000000000000001</v>
      </c>
      <c r="G2991" s="11" t="s">
        <v>4</v>
      </c>
      <c r="H2991" s="13">
        <v>5000</v>
      </c>
      <c r="I2991" s="14">
        <f t="shared" si="110"/>
        <v>0.18307510000000016</v>
      </c>
      <c r="J2991" s="13">
        <f t="shared" si="111"/>
        <v>38833.749999999993</v>
      </c>
    </row>
    <row r="2992" spans="1:10" x14ac:dyDescent="0.25">
      <c r="A2992" s="10">
        <v>40553</v>
      </c>
      <c r="B2992" s="11" t="s">
        <v>8</v>
      </c>
      <c r="C2992" s="11" t="s">
        <v>7</v>
      </c>
      <c r="D2992" s="16" t="str">
        <f>HYPERLINK("https://freddywills.com/pick/4546/auburn-oregon-u73-5.html", "Auburn/Oregon U73.5")</f>
        <v>Auburn/Oregon U73.5</v>
      </c>
      <c r="E2992" s="11">
        <v>3.3</v>
      </c>
      <c r="F2992" s="11">
        <v>-1.1000000000000001</v>
      </c>
      <c r="G2992" s="11" t="s">
        <v>4</v>
      </c>
      <c r="H2992" s="13">
        <v>3000</v>
      </c>
      <c r="I2992" s="14">
        <f t="shared" si="110"/>
        <v>0.13307510000000017</v>
      </c>
      <c r="J2992" s="13">
        <f t="shared" si="111"/>
        <v>33833.749999999993</v>
      </c>
    </row>
    <row r="2993" spans="1:10" x14ac:dyDescent="0.25">
      <c r="A2993" s="10">
        <v>40552</v>
      </c>
      <c r="B2993" s="11" t="s">
        <v>2</v>
      </c>
      <c r="C2993" s="11" t="s">
        <v>5</v>
      </c>
      <c r="D2993" s="16" t="str">
        <f>HYPERLINK("https://freddywills.com/pick/4547/ravens-3.html", "Ravens -3")</f>
        <v>Ravens -3</v>
      </c>
      <c r="E2993" s="11">
        <v>3.5</v>
      </c>
      <c r="F2993" s="11">
        <v>-1.1000000000000001</v>
      </c>
      <c r="G2993" s="11" t="s">
        <v>4</v>
      </c>
      <c r="H2993" s="13">
        <v>3181.82</v>
      </c>
      <c r="I2993" s="14">
        <f t="shared" si="110"/>
        <v>0.10307510000000018</v>
      </c>
      <c r="J2993" s="13">
        <f t="shared" si="111"/>
        <v>30833.749999999993</v>
      </c>
    </row>
    <row r="2994" spans="1:10" x14ac:dyDescent="0.25">
      <c r="A2994" s="10">
        <v>40552</v>
      </c>
      <c r="B2994" s="11" t="s">
        <v>2</v>
      </c>
      <c r="C2994" s="11" t="s">
        <v>7</v>
      </c>
      <c r="D2994" s="16" t="str">
        <f>HYPERLINK("https://freddywills.com/pick/4548/bal-kc-u41.html", "Bal/KC U41")</f>
        <v>Bal/KC U41</v>
      </c>
      <c r="E2994" s="11">
        <v>1.1000000000000001</v>
      </c>
      <c r="F2994" s="11">
        <v>-1.1000000000000001</v>
      </c>
      <c r="G2994" s="11" t="s">
        <v>4</v>
      </c>
      <c r="H2994" s="13">
        <v>1000</v>
      </c>
      <c r="I2994" s="14">
        <f t="shared" si="110"/>
        <v>7.1256900000000178E-2</v>
      </c>
      <c r="J2994" s="13">
        <f t="shared" si="111"/>
        <v>27651.929999999993</v>
      </c>
    </row>
    <row r="2995" spans="1:10" x14ac:dyDescent="0.25">
      <c r="A2995" s="10">
        <v>40552</v>
      </c>
      <c r="B2995" s="11" t="s">
        <v>2</v>
      </c>
      <c r="C2995" s="11" t="s">
        <v>5</v>
      </c>
      <c r="D2995" s="16" t="str">
        <f>HYPERLINK("https://freddywills.com/pick/4549/packers-3-120.html", "Packers +3 -120")</f>
        <v>Packers +3 -120</v>
      </c>
      <c r="E2995" s="11">
        <v>5.5</v>
      </c>
      <c r="F2995" s="11">
        <v>-1.2</v>
      </c>
      <c r="G2995" s="11" t="s">
        <v>4</v>
      </c>
      <c r="H2995" s="13">
        <v>4583.33</v>
      </c>
      <c r="I2995" s="14">
        <f t="shared" si="110"/>
        <v>6.1256900000000183E-2</v>
      </c>
      <c r="J2995" s="13">
        <f t="shared" si="111"/>
        <v>26651.929999999993</v>
      </c>
    </row>
    <row r="2996" spans="1:10" x14ac:dyDescent="0.25">
      <c r="A2996" s="10">
        <v>40552</v>
      </c>
      <c r="B2996" s="11" t="s">
        <v>8</v>
      </c>
      <c r="C2996" s="11" t="s">
        <v>5</v>
      </c>
      <c r="D2996" s="16" t="str">
        <f>HYPERLINK("https://freddywills.com/pick/4550/bc-8.html", "BC +8")</f>
        <v>BC +8</v>
      </c>
      <c r="E2996" s="11">
        <v>4</v>
      </c>
      <c r="F2996" s="11">
        <v>-1.1000000000000001</v>
      </c>
      <c r="G2996" s="11" t="s">
        <v>4</v>
      </c>
      <c r="H2996" s="13">
        <v>3636.36</v>
      </c>
      <c r="I2996" s="14">
        <f t="shared" si="110"/>
        <v>1.5423600000000183E-2</v>
      </c>
      <c r="J2996" s="13">
        <f t="shared" si="111"/>
        <v>22068.599999999995</v>
      </c>
    </row>
    <row r="2997" spans="1:10" x14ac:dyDescent="0.25">
      <c r="A2997" s="10">
        <v>40551</v>
      </c>
      <c r="B2997" s="11" t="s">
        <v>8</v>
      </c>
      <c r="C2997" s="11" t="s">
        <v>5</v>
      </c>
      <c r="D2997" s="16" t="str">
        <f>HYPERLINK("https://freddywills.com/pick/4554/kentucky-4.html", "Kentucky +4")</f>
        <v>Kentucky +4</v>
      </c>
      <c r="E2997" s="11">
        <v>4.4000000000000004</v>
      </c>
      <c r="F2997" s="11">
        <v>-1.1000000000000001</v>
      </c>
      <c r="G2997" s="11" t="s">
        <v>6</v>
      </c>
      <c r="H2997" s="13">
        <v>-4400</v>
      </c>
      <c r="I2997" s="14">
        <f t="shared" si="110"/>
        <v>-2.093999999999982E-2</v>
      </c>
      <c r="J2997" s="13">
        <f t="shared" si="111"/>
        <v>18432.239999999994</v>
      </c>
    </row>
    <row r="2998" spans="1:10" x14ac:dyDescent="0.25">
      <c r="A2998" s="10">
        <v>40551</v>
      </c>
      <c r="B2998" s="11" t="s">
        <v>2</v>
      </c>
      <c r="C2998" s="11" t="s">
        <v>5</v>
      </c>
      <c r="D2998" s="16" t="str">
        <f>HYPERLINK("https://freddywills.com/pick/4555/seahawks-10.html", "Seahawks +10")</f>
        <v>Seahawks +10</v>
      </c>
      <c r="E2998" s="11">
        <v>4.4000000000000004</v>
      </c>
      <c r="F2998" s="11">
        <v>-1.1000000000000001</v>
      </c>
      <c r="G2998" s="11" t="s">
        <v>4</v>
      </c>
      <c r="H2998" s="13">
        <v>4000</v>
      </c>
      <c r="I2998" s="14">
        <f t="shared" si="110"/>
        <v>2.3060000000000178E-2</v>
      </c>
      <c r="J2998" s="13">
        <f t="shared" si="111"/>
        <v>22832.239999999994</v>
      </c>
    </row>
    <row r="2999" spans="1:10" x14ac:dyDescent="0.25">
      <c r="A2999" s="10">
        <v>40550</v>
      </c>
      <c r="B2999" s="11" t="s">
        <v>8</v>
      </c>
      <c r="C2999" s="11" t="s">
        <v>5</v>
      </c>
      <c r="D2999" s="16" t="str">
        <f>HYPERLINK("https://freddywills.com/pick/4556/lsu-2-5.html", "LSU -2.5")</f>
        <v>LSU -2.5</v>
      </c>
      <c r="E2999" s="11">
        <v>4.4000000000000004</v>
      </c>
      <c r="F2999" s="11">
        <v>-1.1000000000000001</v>
      </c>
      <c r="G2999" s="11" t="s">
        <v>4</v>
      </c>
      <c r="H2999" s="13">
        <v>4000</v>
      </c>
      <c r="I2999" s="14">
        <f t="shared" si="110"/>
        <v>-1.6939999999999823E-2</v>
      </c>
      <c r="J2999" s="13">
        <f t="shared" si="111"/>
        <v>18832.239999999994</v>
      </c>
    </row>
    <row r="3000" spans="1:10" x14ac:dyDescent="0.25">
      <c r="A3000" s="10">
        <v>40549</v>
      </c>
      <c r="B3000" s="11" t="s">
        <v>8</v>
      </c>
      <c r="C3000" s="11" t="s">
        <v>5</v>
      </c>
      <c r="D3000" s="16" t="str">
        <f>HYPERLINK("https://freddywills.com/pick/4557/mtsu-2.html", "MTSU -2")</f>
        <v>MTSU -2</v>
      </c>
      <c r="E3000" s="11">
        <v>5</v>
      </c>
      <c r="F3000" s="11">
        <v>-1.1000000000000001</v>
      </c>
      <c r="G3000" s="11" t="s">
        <v>6</v>
      </c>
      <c r="H3000" s="13">
        <v>-5000</v>
      </c>
      <c r="I3000" s="14">
        <f t="shared" si="110"/>
        <v>-5.6939999999999824E-2</v>
      </c>
      <c r="J3000" s="13">
        <f t="shared" si="111"/>
        <v>14832.239999999994</v>
      </c>
    </row>
    <row r="3001" spans="1:10" x14ac:dyDescent="0.25">
      <c r="A3001" s="10">
        <v>40547</v>
      </c>
      <c r="B3001" s="11" t="s">
        <v>8</v>
      </c>
      <c r="C3001" s="11" t="s">
        <v>5</v>
      </c>
      <c r="D3001" s="16" t="str">
        <f>HYPERLINK("https://freddywills.com/pick/4558/arkansas-pk-2h.html", "Arkansas pk 2H")</f>
        <v>Arkansas pk 2H</v>
      </c>
      <c r="E3001" s="11">
        <v>5.5</v>
      </c>
      <c r="F3001" s="11">
        <v>-1.1000000000000001</v>
      </c>
      <c r="G3001" s="11" t="s">
        <v>4</v>
      </c>
      <c r="H3001" s="13">
        <v>5000</v>
      </c>
      <c r="I3001" s="14">
        <f t="shared" si="110"/>
        <v>-6.9399999999998213E-3</v>
      </c>
      <c r="J3001" s="13">
        <f t="shared" si="111"/>
        <v>19832.239999999994</v>
      </c>
    </row>
    <row r="3002" spans="1:10" x14ac:dyDescent="0.25">
      <c r="A3002" s="10">
        <v>40547</v>
      </c>
      <c r="B3002" s="11" t="s">
        <v>8</v>
      </c>
      <c r="C3002" s="11" t="s">
        <v>5</v>
      </c>
      <c r="D3002" s="16" t="str">
        <f>HYPERLINK("https://freddywills.com/pick/4559/arkansas-3.html", "Arkansas +3")</f>
        <v>Arkansas +3</v>
      </c>
      <c r="E3002" s="11">
        <v>5.5</v>
      </c>
      <c r="F3002" s="11">
        <v>-1.1000000000000001</v>
      </c>
      <c r="G3002" s="11" t="s">
        <v>6</v>
      </c>
      <c r="H3002" s="13">
        <v>-5500</v>
      </c>
      <c r="I3002" s="14">
        <f t="shared" si="110"/>
        <v>-5.6939999999999824E-2</v>
      </c>
      <c r="J3002" s="13">
        <f t="shared" si="111"/>
        <v>14832.239999999994</v>
      </c>
    </row>
    <row r="3003" spans="1:10" x14ac:dyDescent="0.25">
      <c r="A3003" s="10">
        <v>40547</v>
      </c>
      <c r="B3003" s="11" t="s">
        <v>8</v>
      </c>
      <c r="C3003" s="11" t="s">
        <v>18</v>
      </c>
      <c r="D3003" s="16" t="str">
        <f>HYPERLINK("https://freddywills.com/pick/4560/arkansas-140.html", "Arkansas +140")</f>
        <v>Arkansas +140</v>
      </c>
      <c r="E3003" s="11">
        <v>2</v>
      </c>
      <c r="F3003" s="11">
        <v>1.4</v>
      </c>
      <c r="G3003" s="11" t="s">
        <v>6</v>
      </c>
      <c r="H3003" s="13">
        <v>-2000</v>
      </c>
      <c r="I3003" s="14">
        <f t="shared" si="110"/>
        <v>-1.9399999999998203E-3</v>
      </c>
      <c r="J3003" s="13">
        <f t="shared" si="111"/>
        <v>20332.239999999994</v>
      </c>
    </row>
    <row r="3004" spans="1:10" x14ac:dyDescent="0.25">
      <c r="A3004" s="10">
        <v>40546</v>
      </c>
      <c r="B3004" s="11" t="s">
        <v>8</v>
      </c>
      <c r="C3004" s="11" t="s">
        <v>5</v>
      </c>
      <c r="D3004" s="16" t="str">
        <f>HYPERLINK("https://freddywills.com/pick/4561/vtech-3-5.html", "Vtech +3.5")</f>
        <v>Vtech +3.5</v>
      </c>
      <c r="E3004" s="11">
        <v>5.5</v>
      </c>
      <c r="F3004" s="11">
        <v>-1.1000000000000001</v>
      </c>
      <c r="G3004" s="11" t="s">
        <v>6</v>
      </c>
      <c r="H3004" s="13">
        <v>-5500</v>
      </c>
      <c r="I3004" s="14">
        <f t="shared" si="110"/>
        <v>1.806000000000018E-2</v>
      </c>
      <c r="J3004" s="13">
        <f t="shared" si="111"/>
        <v>22332.239999999994</v>
      </c>
    </row>
    <row r="3005" spans="1:10" x14ac:dyDescent="0.25">
      <c r="A3005" s="10">
        <v>40545</v>
      </c>
      <c r="B3005" s="11" t="s">
        <v>2</v>
      </c>
      <c r="C3005" s="11" t="s">
        <v>5</v>
      </c>
      <c r="D3005" s="16" t="str">
        <f>HYPERLINK("https://freddywills.com/pick/4562/lions-3-5.html", "Lions -3.5")</f>
        <v>Lions -3.5</v>
      </c>
      <c r="E3005" s="11">
        <v>4</v>
      </c>
      <c r="F3005" s="11">
        <v>-1.1000000000000001</v>
      </c>
      <c r="G3005" s="11" t="s">
        <v>4</v>
      </c>
      <c r="H3005" s="13">
        <v>3636.36</v>
      </c>
      <c r="I3005" s="14">
        <f t="shared" si="110"/>
        <v>7.306000000000018E-2</v>
      </c>
      <c r="J3005" s="13">
        <f t="shared" si="111"/>
        <v>27832.239999999994</v>
      </c>
    </row>
    <row r="3006" spans="1:10" x14ac:dyDescent="0.25">
      <c r="A3006" s="10">
        <v>40545</v>
      </c>
      <c r="B3006" s="11" t="s">
        <v>2</v>
      </c>
      <c r="C3006" s="11" t="s">
        <v>5</v>
      </c>
      <c r="D3006" s="16" t="str">
        <f>HYPERLINK("https://freddywills.com/pick/4563/texans-3.html", "Texans -3")</f>
        <v>Texans -3</v>
      </c>
      <c r="E3006" s="11">
        <v>5.5</v>
      </c>
      <c r="F3006" s="11">
        <v>-1.1000000000000001</v>
      </c>
      <c r="G3006" s="11" t="s">
        <v>4</v>
      </c>
      <c r="H3006" s="13">
        <v>5000</v>
      </c>
      <c r="I3006" s="14">
        <f t="shared" si="110"/>
        <v>3.6696400000000177E-2</v>
      </c>
      <c r="J3006" s="13">
        <f t="shared" si="111"/>
        <v>24195.879999999994</v>
      </c>
    </row>
    <row r="3007" spans="1:10" x14ac:dyDescent="0.25">
      <c r="A3007" s="10">
        <v>40545</v>
      </c>
      <c r="B3007" s="11" t="s">
        <v>2</v>
      </c>
      <c r="C3007" s="11" t="s">
        <v>5</v>
      </c>
      <c r="D3007" s="16" t="str">
        <f>HYPERLINK("https://freddywills.com/pick/4564/giants-4.html", "Giants -4")</f>
        <v>Giants -4</v>
      </c>
      <c r="E3007" s="11">
        <v>4.4000000000000004</v>
      </c>
      <c r="F3007" s="11">
        <v>-1.1000000000000001</v>
      </c>
      <c r="G3007" s="11" t="s">
        <v>6</v>
      </c>
      <c r="H3007" s="13">
        <v>-4400</v>
      </c>
      <c r="I3007" s="14">
        <f t="shared" si="110"/>
        <v>-1.3303599999999825E-2</v>
      </c>
      <c r="J3007" s="13">
        <f t="shared" si="111"/>
        <v>19195.879999999994</v>
      </c>
    </row>
    <row r="3008" spans="1:10" x14ac:dyDescent="0.25">
      <c r="A3008" s="10">
        <v>40545</v>
      </c>
      <c r="B3008" s="11" t="s">
        <v>2</v>
      </c>
      <c r="C3008" s="11" t="s">
        <v>5</v>
      </c>
      <c r="D3008" s="16" t="str">
        <f>HYPERLINK("https://freddywills.com/pick/4565/raiders.html", "Raiders")</f>
        <v>Raiders</v>
      </c>
      <c r="E3008" s="11">
        <v>3.3</v>
      </c>
      <c r="F3008" s="11">
        <v>-1.1000000000000001</v>
      </c>
      <c r="G3008" s="11" t="s">
        <v>4</v>
      </c>
      <c r="H3008" s="13">
        <v>3000</v>
      </c>
      <c r="I3008" s="14">
        <f t="shared" si="110"/>
        <v>3.0696400000000172E-2</v>
      </c>
      <c r="J3008" s="13">
        <f t="shared" si="111"/>
        <v>23595.879999999994</v>
      </c>
    </row>
    <row r="3009" spans="1:10" x14ac:dyDescent="0.25">
      <c r="A3009" s="10">
        <v>40545</v>
      </c>
      <c r="B3009" s="11" t="s">
        <v>2</v>
      </c>
      <c r="C3009" s="11" t="s">
        <v>5</v>
      </c>
      <c r="D3009" s="16" t="str">
        <f>HYPERLINK("https://freddywills.com/pick/4566/rams-3.html", "Rams -3")</f>
        <v>Rams -3</v>
      </c>
      <c r="E3009" s="11">
        <v>3.6</v>
      </c>
      <c r="F3009" s="11">
        <v>-1.1000000000000001</v>
      </c>
      <c r="G3009" s="11" t="s">
        <v>6</v>
      </c>
      <c r="H3009" s="13">
        <v>-3600</v>
      </c>
      <c r="I3009" s="14">
        <f t="shared" si="110"/>
        <v>6.9640000000017327E-4</v>
      </c>
      <c r="J3009" s="13">
        <f t="shared" si="111"/>
        <v>20595.879999999994</v>
      </c>
    </row>
    <row r="3010" spans="1:10" x14ac:dyDescent="0.25">
      <c r="A3010" s="10">
        <v>40544</v>
      </c>
      <c r="B3010" s="11" t="s">
        <v>8</v>
      </c>
      <c r="C3010" s="11" t="s">
        <v>5</v>
      </c>
      <c r="D3010" s="16" t="str">
        <f>HYPERLINK("https://freddywills.com/pick/4567/miami-3.html", "Miami -3")</f>
        <v>Miami -3</v>
      </c>
      <c r="E3010" s="11">
        <v>3.3</v>
      </c>
      <c r="F3010" s="11">
        <v>-1.1000000000000001</v>
      </c>
      <c r="G3010" s="11" t="s">
        <v>6</v>
      </c>
      <c r="H3010" s="13">
        <v>-3300</v>
      </c>
      <c r="I3010" s="14">
        <f t="shared" si="110"/>
        <v>3.6696400000000171E-2</v>
      </c>
      <c r="J3010" s="13">
        <f t="shared" si="111"/>
        <v>24195.879999999994</v>
      </c>
    </row>
    <row r="3011" spans="1:10" x14ac:dyDescent="0.25">
      <c r="A3011" s="10">
        <v>40544</v>
      </c>
      <c r="B3011" s="11" t="s">
        <v>8</v>
      </c>
      <c r="C3011" s="11" t="s">
        <v>5</v>
      </c>
      <c r="D3011" s="16" t="str">
        <f>HYPERLINK("https://freddywills.com/pick/4568/georgia-6-5.html", "Georgia -6.5")</f>
        <v>Georgia -6.5</v>
      </c>
      <c r="E3011" s="11">
        <v>4.4000000000000004</v>
      </c>
      <c r="F3011" s="11">
        <v>-1.1000000000000001</v>
      </c>
      <c r="G3011" s="11" t="s">
        <v>6</v>
      </c>
      <c r="H3011" s="13">
        <v>-4400</v>
      </c>
      <c r="I3011" s="14">
        <f t="shared" si="110"/>
        <v>6.9696400000000172E-2</v>
      </c>
      <c r="J3011" s="13">
        <f t="shared" si="111"/>
        <v>27495.879999999994</v>
      </c>
    </row>
    <row r="3012" spans="1:10" x14ac:dyDescent="0.25">
      <c r="A3012" s="10">
        <v>40544</v>
      </c>
      <c r="B3012" s="11" t="s">
        <v>8</v>
      </c>
      <c r="C3012" s="11" t="s">
        <v>5</v>
      </c>
      <c r="D3012" s="16" t="str">
        <f>HYPERLINK("https://freddywills.com/pick/4569/wisconsin-3.html", "Wisconsin +3")</f>
        <v>Wisconsin +3</v>
      </c>
      <c r="E3012" s="11">
        <v>4.4000000000000004</v>
      </c>
      <c r="F3012" s="11">
        <v>-1.1000000000000001</v>
      </c>
      <c r="G3012" s="11" t="s">
        <v>4</v>
      </c>
      <c r="H3012" s="13">
        <v>4000</v>
      </c>
      <c r="I3012" s="14">
        <f t="shared" si="110"/>
        <v>0.11369640000000017</v>
      </c>
      <c r="J3012" s="13">
        <f t="shared" si="111"/>
        <v>31895.879999999994</v>
      </c>
    </row>
    <row r="3013" spans="1:10" x14ac:dyDescent="0.25">
      <c r="A3013" s="10">
        <v>40544</v>
      </c>
      <c r="B3013" s="11" t="s">
        <v>8</v>
      </c>
      <c r="C3013" s="11" t="s">
        <v>10</v>
      </c>
      <c r="D3013" s="16" t="str">
        <f>HYPERLINK("https://freddywills.com/pick/4570/fl-1-alab-2.html", "Fl -1, Alab -2")</f>
        <v>Fl -1, Alab -2</v>
      </c>
      <c r="E3013" s="11">
        <v>4.4000000000000004</v>
      </c>
      <c r="F3013" s="11">
        <v>-1.1000000000000001</v>
      </c>
      <c r="G3013" s="11" t="s">
        <v>4</v>
      </c>
      <c r="H3013" s="13">
        <v>4000</v>
      </c>
      <c r="I3013" s="14">
        <f t="shared" si="110"/>
        <v>7.3696400000000162E-2</v>
      </c>
      <c r="J3013" s="13">
        <f t="shared" si="111"/>
        <v>27895.879999999994</v>
      </c>
    </row>
    <row r="3014" spans="1:10" x14ac:dyDescent="0.25">
      <c r="A3014" s="10">
        <v>40544</v>
      </c>
      <c r="B3014" s="11" t="s">
        <v>8</v>
      </c>
      <c r="C3014" s="11" t="s">
        <v>5</v>
      </c>
      <c r="D3014" s="16" t="str">
        <f>HYPERLINK("https://freddywills.com/pick/4571/northwestern-8.html", "Northwestern +8")</f>
        <v>Northwestern +8</v>
      </c>
      <c r="E3014" s="11">
        <v>3.3</v>
      </c>
      <c r="F3014" s="11">
        <v>-1.1000000000000001</v>
      </c>
      <c r="G3014" s="11" t="s">
        <v>4</v>
      </c>
      <c r="H3014" s="13">
        <v>3000</v>
      </c>
      <c r="I3014" s="14">
        <f t="shared" si="110"/>
        <v>3.3696400000000154E-2</v>
      </c>
      <c r="J3014" s="13">
        <f t="shared" si="111"/>
        <v>23895.879999999994</v>
      </c>
    </row>
    <row r="3015" spans="1:10" x14ac:dyDescent="0.25">
      <c r="A3015" s="10">
        <v>40542</v>
      </c>
      <c r="B3015" s="11" t="s">
        <v>8</v>
      </c>
      <c r="C3015" s="11" t="s">
        <v>5</v>
      </c>
      <c r="D3015" s="16" t="str">
        <f>HYPERLINK("https://freddywills.com/pick/4572/army-7-5.html", "Army +7.5")</f>
        <v>Army +7.5</v>
      </c>
      <c r="E3015" s="11">
        <v>3.3</v>
      </c>
      <c r="F3015" s="11">
        <v>-1.1000000000000001</v>
      </c>
      <c r="G3015" s="11" t="s">
        <v>4</v>
      </c>
      <c r="H3015" s="13">
        <v>3000</v>
      </c>
      <c r="I3015" s="14">
        <f t="shared" si="110"/>
        <v>3.6964000000001551E-3</v>
      </c>
      <c r="J3015" s="13">
        <f t="shared" si="111"/>
        <v>20895.879999999994</v>
      </c>
    </row>
    <row r="3016" spans="1:10" x14ac:dyDescent="0.25">
      <c r="A3016" s="10">
        <v>40542</v>
      </c>
      <c r="B3016" s="11" t="s">
        <v>8</v>
      </c>
      <c r="C3016" s="11" t="s">
        <v>5</v>
      </c>
      <c r="D3016" s="16" t="str">
        <f>HYPERLINK("https://freddywills.com/pick/4573/tenn-1.html", "Tenn +1")</f>
        <v>Tenn +1</v>
      </c>
      <c r="E3016" s="11">
        <v>4.4000000000000004</v>
      </c>
      <c r="F3016" s="11">
        <v>-1.1000000000000001</v>
      </c>
      <c r="G3016" s="11" t="s">
        <v>6</v>
      </c>
      <c r="H3016" s="13">
        <v>-4400</v>
      </c>
      <c r="I3016" s="14">
        <f t="shared" si="110"/>
        <v>-2.6303599999999844E-2</v>
      </c>
      <c r="J3016" s="13">
        <f t="shared" si="111"/>
        <v>17895.879999999994</v>
      </c>
    </row>
    <row r="3017" spans="1:10" x14ac:dyDescent="0.25">
      <c r="A3017" s="10">
        <v>40542</v>
      </c>
      <c r="B3017" s="11" t="s">
        <v>8</v>
      </c>
      <c r="C3017" s="11" t="s">
        <v>5</v>
      </c>
      <c r="D3017" s="16" t="str">
        <f>HYPERLINK("https://freddywills.com/pick/4574/neb-13.html", "Neb -13")</f>
        <v>Neb -13</v>
      </c>
      <c r="E3017" s="11">
        <v>3.3</v>
      </c>
      <c r="F3017" s="11">
        <v>-1.1000000000000001</v>
      </c>
      <c r="G3017" s="11" t="s">
        <v>6</v>
      </c>
      <c r="H3017" s="13">
        <v>-3300</v>
      </c>
      <c r="I3017" s="14">
        <f t="shared" si="110"/>
        <v>1.7696400000000154E-2</v>
      </c>
      <c r="J3017" s="13">
        <f t="shared" si="111"/>
        <v>22295.879999999994</v>
      </c>
    </row>
    <row r="3018" spans="1:10" x14ac:dyDescent="0.25">
      <c r="A3018" s="10">
        <v>40541</v>
      </c>
      <c r="B3018" s="11" t="s">
        <v>8</v>
      </c>
      <c r="C3018" s="11" t="s">
        <v>5</v>
      </c>
      <c r="D3018" s="16" t="str">
        <f>HYPERLINK("https://freddywills.com/pick/4580/okl-st-4.html", "Okl St -4")</f>
        <v>Okl St -4</v>
      </c>
      <c r="E3018" s="11">
        <v>5</v>
      </c>
      <c r="F3018" s="11">
        <v>-1.1000000000000001</v>
      </c>
      <c r="G3018" s="11" t="s">
        <v>4</v>
      </c>
      <c r="H3018" s="13">
        <v>4545.45</v>
      </c>
      <c r="I3018" s="14">
        <f t="shared" si="110"/>
        <v>5.0696400000000155E-2</v>
      </c>
      <c r="J3018" s="13">
        <f t="shared" si="111"/>
        <v>25595.879999999994</v>
      </c>
    </row>
    <row r="3019" spans="1:10" x14ac:dyDescent="0.25">
      <c r="A3019" s="10">
        <v>40541</v>
      </c>
      <c r="B3019" s="11" t="s">
        <v>8</v>
      </c>
      <c r="C3019" s="11" t="s">
        <v>10</v>
      </c>
      <c r="D3019" s="16" t="str">
        <f>HYPERLINK("https://freddywills.com/pick/4581/okl-st-2-over60.html", "Okl St +2 Over60")</f>
        <v>Okl St +2 Over60</v>
      </c>
      <c r="E3019" s="11">
        <v>2.2000000000000002</v>
      </c>
      <c r="F3019" s="11">
        <v>-1.1000000000000001</v>
      </c>
      <c r="G3019" s="11" t="s">
        <v>6</v>
      </c>
      <c r="H3019" s="13">
        <v>-2200</v>
      </c>
      <c r="I3019" s="14">
        <f t="shared" si="110"/>
        <v>5.2419000000001603E-3</v>
      </c>
      <c r="J3019" s="13">
        <f t="shared" si="111"/>
        <v>21050.429999999993</v>
      </c>
    </row>
    <row r="3020" spans="1:10" x14ac:dyDescent="0.25">
      <c r="A3020" s="10">
        <v>40541</v>
      </c>
      <c r="B3020" s="11" t="s">
        <v>8</v>
      </c>
      <c r="C3020" s="11" t="s">
        <v>5</v>
      </c>
      <c r="D3020" s="16" t="str">
        <f>HYPERLINK("https://freddywills.com/pick/4582/ecar-7-5.html", "Ecar +7.5")</f>
        <v>Ecar +7.5</v>
      </c>
      <c r="E3020" s="11">
        <v>2.5</v>
      </c>
      <c r="F3020" s="11">
        <v>-1.1000000000000001</v>
      </c>
      <c r="G3020" s="11" t="s">
        <v>6</v>
      </c>
      <c r="H3020" s="13">
        <v>-2500</v>
      </c>
      <c r="I3020" s="14">
        <f t="shared" si="110"/>
        <v>2.7241900000000159E-2</v>
      </c>
      <c r="J3020" s="13">
        <f t="shared" si="111"/>
        <v>23250.429999999993</v>
      </c>
    </row>
    <row r="3021" spans="1:10" x14ac:dyDescent="0.25">
      <c r="A3021" s="10">
        <v>40540</v>
      </c>
      <c r="B3021" s="11" t="s">
        <v>8</v>
      </c>
      <c r="C3021" s="11" t="s">
        <v>5</v>
      </c>
      <c r="D3021" s="16" t="str">
        <f>HYPERLINK("https://freddywills.com/pick/4583/iowa-3.html", "Iowa +3")</f>
        <v>Iowa +3</v>
      </c>
      <c r="E3021" s="11">
        <v>3.3</v>
      </c>
      <c r="F3021" s="11">
        <v>-1.1000000000000001</v>
      </c>
      <c r="G3021" s="11" t="s">
        <v>4</v>
      </c>
      <c r="H3021" s="13">
        <v>3000</v>
      </c>
      <c r="I3021" s="14">
        <f t="shared" si="110"/>
        <v>5.224190000000016E-2</v>
      </c>
      <c r="J3021" s="13">
        <f t="shared" si="111"/>
        <v>25750.429999999993</v>
      </c>
    </row>
    <row r="3022" spans="1:10" x14ac:dyDescent="0.25">
      <c r="A3022" s="10">
        <v>40540</v>
      </c>
      <c r="B3022" s="11" t="s">
        <v>8</v>
      </c>
      <c r="C3022" s="11" t="s">
        <v>5</v>
      </c>
      <c r="D3022" s="16" t="str">
        <f>HYPERLINK("https://freddywills.com/pick/4584/w-virg-2-5.html", "W.Virg -2.5")</f>
        <v>W.Virg -2.5</v>
      </c>
      <c r="E3022" s="11">
        <v>4.4000000000000004</v>
      </c>
      <c r="F3022" s="11">
        <v>-1.1000000000000001</v>
      </c>
      <c r="G3022" s="11" t="s">
        <v>6</v>
      </c>
      <c r="H3022" s="13">
        <v>-4400</v>
      </c>
      <c r="I3022" s="14">
        <f t="shared" si="110"/>
        <v>2.2241900000000162E-2</v>
      </c>
      <c r="J3022" s="13">
        <f t="shared" si="111"/>
        <v>22750.429999999993</v>
      </c>
    </row>
    <row r="3023" spans="1:10" x14ac:dyDescent="0.25">
      <c r="A3023" s="10">
        <v>40540</v>
      </c>
      <c r="B3023" s="11" t="s">
        <v>2</v>
      </c>
      <c r="C3023" s="11" t="s">
        <v>5</v>
      </c>
      <c r="D3023" s="16" t="str">
        <f>HYPERLINK("https://freddywills.com/pick/4585/eagles-13-5-120.html", "Eagles -13.5 -120")</f>
        <v>Eagles -13.5 -120</v>
      </c>
      <c r="E3023" s="11">
        <v>3.6</v>
      </c>
      <c r="F3023" s="11">
        <v>-1.2</v>
      </c>
      <c r="G3023" s="11" t="s">
        <v>6</v>
      </c>
      <c r="H3023" s="13">
        <v>-3600</v>
      </c>
      <c r="I3023" s="14">
        <f t="shared" si="110"/>
        <v>6.6241900000000159E-2</v>
      </c>
      <c r="J3023" s="13">
        <f t="shared" si="111"/>
        <v>27150.429999999993</v>
      </c>
    </row>
    <row r="3024" spans="1:10" x14ac:dyDescent="0.25">
      <c r="A3024" s="10">
        <v>40539</v>
      </c>
      <c r="B3024" s="11" t="s">
        <v>8</v>
      </c>
      <c r="C3024" s="11" t="s">
        <v>5</v>
      </c>
      <c r="D3024" s="16" t="str">
        <f>HYPERLINK("https://freddywills.com/pick/4586/gtech-3.html", "Gtech +3")</f>
        <v>Gtech +3</v>
      </c>
      <c r="E3024" s="11">
        <v>3.3</v>
      </c>
      <c r="F3024" s="11">
        <v>-1.1000000000000001</v>
      </c>
      <c r="G3024" s="11" t="s">
        <v>6</v>
      </c>
      <c r="H3024" s="13">
        <v>-3300</v>
      </c>
      <c r="I3024" s="14">
        <f t="shared" si="110"/>
        <v>0.10224190000000016</v>
      </c>
      <c r="J3024" s="13">
        <f t="shared" si="111"/>
        <v>30750.429999999993</v>
      </c>
    </row>
    <row r="3025" spans="1:10" x14ac:dyDescent="0.25">
      <c r="A3025" s="10">
        <v>40539</v>
      </c>
      <c r="B3025" s="11" t="s">
        <v>2</v>
      </c>
      <c r="C3025" s="11" t="s">
        <v>5</v>
      </c>
      <c r="D3025" s="16" t="str">
        <f>HYPERLINK("https://freddywills.com/pick/4587/saints-3-120.html", "Saints +3 -120")</f>
        <v>Saints +3 -120</v>
      </c>
      <c r="E3025" s="11">
        <v>4.5</v>
      </c>
      <c r="F3025" s="11">
        <v>-1.2</v>
      </c>
      <c r="G3025" s="11" t="s">
        <v>4</v>
      </c>
      <c r="H3025" s="13">
        <v>3750</v>
      </c>
      <c r="I3025" s="14">
        <f t="shared" si="110"/>
        <v>0.13524190000000016</v>
      </c>
      <c r="J3025" s="13">
        <f t="shared" si="111"/>
        <v>34050.429999999993</v>
      </c>
    </row>
    <row r="3026" spans="1:10" x14ac:dyDescent="0.25">
      <c r="A3026" s="10">
        <v>40538</v>
      </c>
      <c r="B3026" s="11" t="s">
        <v>2</v>
      </c>
      <c r="C3026" s="11" t="s">
        <v>5</v>
      </c>
      <c r="D3026" s="16" t="str">
        <f>HYPERLINK("https://freddywills.com/pick/4588/rams-2-5.html", "Rams -2.5")</f>
        <v>Rams -2.5</v>
      </c>
      <c r="E3026" s="11">
        <v>4.4000000000000004</v>
      </c>
      <c r="F3026" s="11">
        <v>-1.1000000000000001</v>
      </c>
      <c r="G3026" s="11" t="s">
        <v>4</v>
      </c>
      <c r="H3026" s="13">
        <v>4000</v>
      </c>
      <c r="I3026" s="14">
        <f t="shared" si="110"/>
        <v>9.7741900000000159E-2</v>
      </c>
      <c r="J3026" s="13">
        <f t="shared" si="111"/>
        <v>30300.429999999997</v>
      </c>
    </row>
    <row r="3027" spans="1:10" x14ac:dyDescent="0.25">
      <c r="A3027" s="10">
        <v>40538</v>
      </c>
      <c r="B3027" s="11" t="s">
        <v>2</v>
      </c>
      <c r="C3027" s="11" t="s">
        <v>5</v>
      </c>
      <c r="D3027" s="16" t="str">
        <f>HYPERLINK("https://freddywills.com/pick/4589/lions-3-5.html", "Lions +3.5")</f>
        <v>Lions +3.5</v>
      </c>
      <c r="E3027" s="11">
        <v>3.3</v>
      </c>
      <c r="F3027" s="11">
        <v>-1.1000000000000001</v>
      </c>
      <c r="G3027" s="11" t="s">
        <v>4</v>
      </c>
      <c r="H3027" s="13">
        <v>3000</v>
      </c>
      <c r="I3027" s="14">
        <f t="shared" si="110"/>
        <v>5.7741900000000158E-2</v>
      </c>
      <c r="J3027" s="13">
        <f t="shared" si="111"/>
        <v>26300.429999999997</v>
      </c>
    </row>
    <row r="3028" spans="1:10" x14ac:dyDescent="0.25">
      <c r="A3028" s="10">
        <v>40538</v>
      </c>
      <c r="B3028" s="11" t="s">
        <v>2</v>
      </c>
      <c r="C3028" s="11" t="s">
        <v>5</v>
      </c>
      <c r="D3028" s="16" t="str">
        <f>HYPERLINK("https://freddywills.com/pick/4590/giants-3-5.html", "Giants +3.5")</f>
        <v>Giants +3.5</v>
      </c>
      <c r="E3028" s="11">
        <v>5.5</v>
      </c>
      <c r="F3028" s="11">
        <v>-1.1000000000000001</v>
      </c>
      <c r="G3028" s="11" t="s">
        <v>6</v>
      </c>
      <c r="H3028" s="13">
        <v>-5500</v>
      </c>
      <c r="I3028" s="14">
        <f t="shared" si="110"/>
        <v>2.7741900000000159E-2</v>
      </c>
      <c r="J3028" s="13">
        <f t="shared" si="111"/>
        <v>23300.429999999997</v>
      </c>
    </row>
    <row r="3029" spans="1:10" x14ac:dyDescent="0.25">
      <c r="A3029" s="10">
        <v>40538</v>
      </c>
      <c r="B3029" s="11" t="s">
        <v>2</v>
      </c>
      <c r="C3029" s="11" t="s">
        <v>18</v>
      </c>
      <c r="D3029" s="16" t="str">
        <f>HYPERLINK("https://freddywills.com/pick/4591/giants-150.html", "Giants +150")</f>
        <v>Giants +150</v>
      </c>
      <c r="E3029" s="11">
        <v>2</v>
      </c>
      <c r="F3029" s="11">
        <v>1.5</v>
      </c>
      <c r="G3029" s="11" t="s">
        <v>6</v>
      </c>
      <c r="H3029" s="13">
        <v>-2000</v>
      </c>
      <c r="I3029" s="14">
        <f t="shared" si="110"/>
        <v>8.274190000000016E-2</v>
      </c>
      <c r="J3029" s="13">
        <f t="shared" si="111"/>
        <v>28800.429999999997</v>
      </c>
    </row>
    <row r="3030" spans="1:10" x14ac:dyDescent="0.25">
      <c r="A3030" s="10">
        <v>40538</v>
      </c>
      <c r="B3030" s="11" t="s">
        <v>8</v>
      </c>
      <c r="C3030" s="11" t="s">
        <v>5</v>
      </c>
      <c r="D3030" s="16" t="str">
        <f>HYPERLINK("https://freddywills.com/pick/4592/fl-int-1.html", "Fl Int +1")</f>
        <v>Fl Int +1</v>
      </c>
      <c r="E3030" s="11">
        <v>4.4000000000000004</v>
      </c>
      <c r="F3030" s="11">
        <v>-1.1000000000000001</v>
      </c>
      <c r="G3030" s="11" t="s">
        <v>4</v>
      </c>
      <c r="H3030" s="13">
        <v>4000</v>
      </c>
      <c r="I3030" s="14">
        <f t="shared" si="110"/>
        <v>0.10274190000000016</v>
      </c>
      <c r="J3030" s="13">
        <f t="shared" si="111"/>
        <v>30800.429999999997</v>
      </c>
    </row>
    <row r="3031" spans="1:10" x14ac:dyDescent="0.25">
      <c r="A3031" s="10">
        <v>40537</v>
      </c>
      <c r="B3031" s="11" t="s">
        <v>2</v>
      </c>
      <c r="C3031" s="11" t="s">
        <v>5</v>
      </c>
      <c r="D3031" s="16" t="str">
        <f>HYPERLINK("https://freddywills.com/pick/4593/cardinals-7-5.html", "Cardinals +7.5")</f>
        <v>Cardinals +7.5</v>
      </c>
      <c r="E3031" s="11">
        <v>4.4000000000000004</v>
      </c>
      <c r="F3031" s="11">
        <v>-1.1000000000000001</v>
      </c>
      <c r="G3031" s="11" t="s">
        <v>4</v>
      </c>
      <c r="H3031" s="13">
        <v>4000</v>
      </c>
      <c r="I3031" s="14">
        <f t="shared" si="110"/>
        <v>6.2741900000000156E-2</v>
      </c>
      <c r="J3031" s="13">
        <f t="shared" si="111"/>
        <v>26800.429999999997</v>
      </c>
    </row>
    <row r="3032" spans="1:10" x14ac:dyDescent="0.25">
      <c r="A3032" s="10">
        <v>40536</v>
      </c>
      <c r="B3032" s="11" t="s">
        <v>8</v>
      </c>
      <c r="C3032" s="11" t="s">
        <v>5</v>
      </c>
      <c r="D3032" s="16" t="str">
        <f>HYPERLINK("https://freddywills.com/pick/4596/tulsa-10.html", "Tulsa +10")</f>
        <v>Tulsa +10</v>
      </c>
      <c r="E3032" s="11">
        <v>4.4000000000000004</v>
      </c>
      <c r="F3032" s="11">
        <v>-1.1000000000000001</v>
      </c>
      <c r="G3032" s="11" t="s">
        <v>4</v>
      </c>
      <c r="H3032" s="13">
        <v>4000</v>
      </c>
      <c r="I3032" s="14">
        <f t="shared" si="110"/>
        <v>2.2741900000000148E-2</v>
      </c>
      <c r="J3032" s="13">
        <f t="shared" si="111"/>
        <v>22800.429999999997</v>
      </c>
    </row>
    <row r="3033" spans="1:10" x14ac:dyDescent="0.25">
      <c r="A3033" s="10">
        <v>40536</v>
      </c>
      <c r="B3033" s="11" t="s">
        <v>8</v>
      </c>
      <c r="C3033" s="11" t="s">
        <v>18</v>
      </c>
      <c r="D3033" s="16" t="str">
        <f>HYPERLINK("https://freddywills.com/pick/4597/tulsa-310.html", "Tulsa +310")</f>
        <v>Tulsa +310</v>
      </c>
      <c r="E3033" s="11">
        <v>1</v>
      </c>
      <c r="F3033" s="11">
        <v>3.1</v>
      </c>
      <c r="G3033" s="11" t="s">
        <v>4</v>
      </c>
      <c r="H3033" s="13">
        <v>3100</v>
      </c>
      <c r="I3033" s="14">
        <f t="shared" si="110"/>
        <v>-1.7258099999999853E-2</v>
      </c>
      <c r="J3033" s="13">
        <f t="shared" si="111"/>
        <v>18800.429999999997</v>
      </c>
    </row>
    <row r="3034" spans="1:10" x14ac:dyDescent="0.25">
      <c r="A3034" s="10">
        <v>40535</v>
      </c>
      <c r="B3034" s="11" t="s">
        <v>8</v>
      </c>
      <c r="C3034" s="11" t="s">
        <v>5</v>
      </c>
      <c r="D3034" s="16" t="str">
        <f>HYPERLINK("https://freddywills.com/pick/4598/navy-3-5.html", "Navy +3.5")</f>
        <v>Navy +3.5</v>
      </c>
      <c r="E3034" s="11">
        <v>4.5</v>
      </c>
      <c r="F3034" s="11">
        <v>-1.1000000000000001</v>
      </c>
      <c r="G3034" s="11" t="s">
        <v>6</v>
      </c>
      <c r="H3034" s="13">
        <v>-4500</v>
      </c>
      <c r="I3034" s="14">
        <f t="shared" si="110"/>
        <v>-4.8258099999999853E-2</v>
      </c>
      <c r="J3034" s="13">
        <f t="shared" si="111"/>
        <v>15700.429999999997</v>
      </c>
    </row>
    <row r="3035" spans="1:10" x14ac:dyDescent="0.25">
      <c r="A3035" s="10">
        <v>40535</v>
      </c>
      <c r="B3035" s="11" t="s">
        <v>2</v>
      </c>
      <c r="C3035" s="11" t="s">
        <v>5</v>
      </c>
      <c r="D3035" s="16" t="str">
        <f>HYPERLINK("https://freddywills.com/pick/4599/steelers-14.html", "Steelers -14")</f>
        <v>Steelers -14</v>
      </c>
      <c r="E3035" s="11">
        <v>3.3</v>
      </c>
      <c r="F3035" s="11">
        <v>-1.1000000000000001</v>
      </c>
      <c r="G3035" s="11" t="s">
        <v>4</v>
      </c>
      <c r="H3035" s="13">
        <v>3000</v>
      </c>
      <c r="I3035" s="14">
        <f t="shared" si="110"/>
        <v>-3.2580999999998542E-3</v>
      </c>
      <c r="J3035" s="13">
        <f t="shared" si="111"/>
        <v>20200.429999999997</v>
      </c>
    </row>
    <row r="3036" spans="1:10" x14ac:dyDescent="0.25">
      <c r="A3036" s="10">
        <v>40534</v>
      </c>
      <c r="B3036" s="11" t="s">
        <v>8</v>
      </c>
      <c r="C3036" s="11" t="s">
        <v>5</v>
      </c>
      <c r="D3036" s="16" t="str">
        <f>HYPERLINK("https://freddywills.com/pick/4600/utah-17.html", "Utah +17")</f>
        <v>Utah +17</v>
      </c>
      <c r="E3036" s="11">
        <v>4.4000000000000004</v>
      </c>
      <c r="F3036" s="11">
        <v>-1.1000000000000001</v>
      </c>
      <c r="G3036" s="11" t="s">
        <v>6</v>
      </c>
      <c r="H3036" s="13">
        <v>-4400</v>
      </c>
      <c r="I3036" s="14">
        <f t="shared" si="110"/>
        <v>-3.3258099999999853E-2</v>
      </c>
      <c r="J3036" s="13">
        <f t="shared" si="111"/>
        <v>17200.429999999997</v>
      </c>
    </row>
    <row r="3037" spans="1:10" x14ac:dyDescent="0.25">
      <c r="A3037" s="10">
        <v>40533</v>
      </c>
      <c r="B3037" s="11" t="s">
        <v>8</v>
      </c>
      <c r="C3037" s="11" t="s">
        <v>5</v>
      </c>
      <c r="D3037" s="16" t="str">
        <f>HYPERLINK("https://freddywills.com/pick/4601/louisville-2-5.html", "Louisville -2.5")</f>
        <v>Louisville -2.5</v>
      </c>
      <c r="E3037" s="11">
        <v>3.3</v>
      </c>
      <c r="F3037" s="11">
        <v>-1.1000000000000001</v>
      </c>
      <c r="G3037" s="11" t="s">
        <v>4</v>
      </c>
      <c r="H3037" s="13">
        <v>3000</v>
      </c>
      <c r="I3037" s="14">
        <f t="shared" si="110"/>
        <v>1.0741900000000144E-2</v>
      </c>
      <c r="J3037" s="13">
        <f t="shared" si="111"/>
        <v>21600.429999999997</v>
      </c>
    </row>
    <row r="3038" spans="1:10" x14ac:dyDescent="0.25">
      <c r="A3038" s="10">
        <v>40532</v>
      </c>
      <c r="B3038" s="11" t="s">
        <v>2</v>
      </c>
      <c r="C3038" s="11" t="s">
        <v>5</v>
      </c>
      <c r="D3038" s="16" t="str">
        <f>HYPERLINK("https://freddywills.com/pick/4602/vikings-7.html", "Vikings +7")</f>
        <v>Vikings +7</v>
      </c>
      <c r="E3038" s="11">
        <v>5</v>
      </c>
      <c r="F3038" s="11">
        <v>-1.1000000000000001</v>
      </c>
      <c r="G3038" s="11" t="s">
        <v>6</v>
      </c>
      <c r="H3038" s="13">
        <v>-5000</v>
      </c>
      <c r="I3038" s="14">
        <f t="shared" si="110"/>
        <v>-1.9258099999999855E-2</v>
      </c>
      <c r="J3038" s="13">
        <f t="shared" si="111"/>
        <v>18600.429999999997</v>
      </c>
    </row>
    <row r="3039" spans="1:10" x14ac:dyDescent="0.25">
      <c r="A3039" s="10">
        <v>40532</v>
      </c>
      <c r="B3039" s="11" t="s">
        <v>2</v>
      </c>
      <c r="C3039" s="11" t="s">
        <v>10</v>
      </c>
      <c r="D3039" s="16" t="str">
        <f>HYPERLINK("https://freddywills.com/pick/4603/vikings-13-u40-5.html", "Vikings+13 u40.5")</f>
        <v>Vikings+13 u40.5</v>
      </c>
      <c r="E3039" s="11">
        <v>2.2000000000000002</v>
      </c>
      <c r="F3039" s="11">
        <v>-1.1000000000000001</v>
      </c>
      <c r="G3039" s="11" t="s">
        <v>6</v>
      </c>
      <c r="H3039" s="13">
        <v>-2200</v>
      </c>
      <c r="I3039" s="14">
        <f t="shared" si="110"/>
        <v>3.0741900000000148E-2</v>
      </c>
      <c r="J3039" s="13">
        <f t="shared" si="111"/>
        <v>23600.429999999997</v>
      </c>
    </row>
    <row r="3040" spans="1:10" x14ac:dyDescent="0.25">
      <c r="A3040" s="10">
        <v>40531</v>
      </c>
      <c r="B3040" s="11" t="s">
        <v>2</v>
      </c>
      <c r="C3040" s="11" t="s">
        <v>5</v>
      </c>
      <c r="D3040" s="16" t="str">
        <f>HYPERLINK("https://freddywills.com/pick/4604/ravens-1-5.html", "Ravens -1.5")</f>
        <v>Ravens -1.5</v>
      </c>
      <c r="E3040" s="11">
        <v>5.5</v>
      </c>
      <c r="F3040" s="11">
        <v>-1.1000000000000001</v>
      </c>
      <c r="G3040" s="11" t="s">
        <v>4</v>
      </c>
      <c r="H3040" s="13">
        <v>5000</v>
      </c>
      <c r="I3040" s="14">
        <f t="shared" si="110"/>
        <v>5.2741900000000147E-2</v>
      </c>
      <c r="J3040" s="13">
        <f t="shared" si="111"/>
        <v>25800.429999999997</v>
      </c>
    </row>
    <row r="3041" spans="1:10" x14ac:dyDescent="0.25">
      <c r="A3041" s="10">
        <v>40531</v>
      </c>
      <c r="B3041" s="11" t="s">
        <v>2</v>
      </c>
      <c r="C3041" s="11" t="s">
        <v>5</v>
      </c>
      <c r="D3041" s="16" t="str">
        <f>HYPERLINK("https://freddywills.com/pick/4605/lions-4-5.html", "Lions +4.5")</f>
        <v>Lions +4.5</v>
      </c>
      <c r="E3041" s="11">
        <v>3</v>
      </c>
      <c r="F3041" s="11">
        <v>-1.1000000000000001</v>
      </c>
      <c r="G3041" s="11" t="s">
        <v>4</v>
      </c>
      <c r="H3041" s="13">
        <v>2727.27</v>
      </c>
      <c r="I3041" s="14">
        <f t="shared" si="110"/>
        <v>2.7419000000001477E-3</v>
      </c>
      <c r="J3041" s="13">
        <f t="shared" si="111"/>
        <v>20800.429999999997</v>
      </c>
    </row>
    <row r="3042" spans="1:10" x14ac:dyDescent="0.25">
      <c r="A3042" s="10">
        <v>40531</v>
      </c>
      <c r="B3042" s="11" t="s">
        <v>2</v>
      </c>
      <c r="C3042" s="11" t="s">
        <v>5</v>
      </c>
      <c r="D3042" s="16" t="str">
        <f>HYPERLINK("https://freddywills.com/pick/4606/bills-5-5.html", "Bills +5.5")</f>
        <v>Bills +5.5</v>
      </c>
      <c r="E3042" s="11">
        <v>3.3</v>
      </c>
      <c r="F3042" s="11">
        <v>-1.1000000000000001</v>
      </c>
      <c r="G3042" s="11" t="s">
        <v>4</v>
      </c>
      <c r="H3042" s="13">
        <v>3000</v>
      </c>
      <c r="I3042" s="14">
        <f t="shared" si="110"/>
        <v>-2.4530799999999853E-2</v>
      </c>
      <c r="J3042" s="13">
        <f t="shared" si="111"/>
        <v>18073.159999999996</v>
      </c>
    </row>
    <row r="3043" spans="1:10" x14ac:dyDescent="0.25">
      <c r="A3043" s="10">
        <v>40530</v>
      </c>
      <c r="B3043" s="11" t="s">
        <v>8</v>
      </c>
      <c r="C3043" s="11" t="s">
        <v>5</v>
      </c>
      <c r="D3043" s="16" t="str">
        <f>HYPERLINK("https://freddywills.com/pick/4608/ohio-3.html", "Ohio +3")</f>
        <v>Ohio +3</v>
      </c>
      <c r="E3043" s="11">
        <v>4</v>
      </c>
      <c r="F3043" s="11">
        <v>-1.1000000000000001</v>
      </c>
      <c r="G3043" s="11" t="s">
        <v>6</v>
      </c>
      <c r="H3043" s="13">
        <v>-4000</v>
      </c>
      <c r="I3043" s="14">
        <f t="shared" si="110"/>
        <v>-5.4530799999999852E-2</v>
      </c>
      <c r="J3043" s="13">
        <f t="shared" si="111"/>
        <v>15073.159999999996</v>
      </c>
    </row>
    <row r="3044" spans="1:10" x14ac:dyDescent="0.25">
      <c r="A3044" s="10">
        <v>40530</v>
      </c>
      <c r="B3044" s="11" t="s">
        <v>8</v>
      </c>
      <c r="C3044" s="11" t="s">
        <v>5</v>
      </c>
      <c r="D3044" s="16" t="str">
        <f>HYPERLINK("https://freddywills.com/pick/4609/fresno-1-5.html", "Fresno +1.5")</f>
        <v>Fresno +1.5</v>
      </c>
      <c r="E3044" s="11">
        <v>4.4000000000000004</v>
      </c>
      <c r="F3044" s="11">
        <v>-1.1000000000000001</v>
      </c>
      <c r="G3044" s="11" t="s">
        <v>6</v>
      </c>
      <c r="H3044" s="13">
        <v>-4400</v>
      </c>
      <c r="I3044" s="14">
        <f t="shared" si="110"/>
        <v>-1.4530799999999847E-2</v>
      </c>
      <c r="J3044" s="13">
        <f t="shared" si="111"/>
        <v>19073.159999999996</v>
      </c>
    </row>
    <row r="3045" spans="1:10" x14ac:dyDescent="0.25">
      <c r="A3045" s="10">
        <v>40528</v>
      </c>
      <c r="B3045" s="11" t="s">
        <v>2</v>
      </c>
      <c r="C3045" s="11" t="s">
        <v>5</v>
      </c>
      <c r="D3045" s="16" t="str">
        <f>HYPERLINK("https://freddywills.com/pick/4611/chargers-10.html", "Chargers -10")</f>
        <v>Chargers -10</v>
      </c>
      <c r="E3045" s="11">
        <v>4</v>
      </c>
      <c r="F3045" s="11">
        <v>-1.1000000000000001</v>
      </c>
      <c r="G3045" s="11" t="s">
        <v>4</v>
      </c>
      <c r="H3045" s="13">
        <v>3636.36</v>
      </c>
      <c r="I3045" s="14">
        <f t="shared" si="110"/>
        <v>2.946920000000015E-2</v>
      </c>
      <c r="J3045" s="13">
        <f t="shared" si="111"/>
        <v>23473.159999999996</v>
      </c>
    </row>
    <row r="3046" spans="1:10" x14ac:dyDescent="0.25">
      <c r="A3046" s="10">
        <v>40528</v>
      </c>
      <c r="B3046" s="11" t="s">
        <v>2</v>
      </c>
      <c r="C3046" s="11" t="s">
        <v>10</v>
      </c>
      <c r="D3046" s="16" t="str">
        <f>HYPERLINK("https://freddywills.com/pick/4612/chargers-4-u51.html", "Chargers -4 U51")</f>
        <v>Chargers -4 U51</v>
      </c>
      <c r="E3046" s="11">
        <v>2.2000000000000002</v>
      </c>
      <c r="F3046" s="11">
        <v>-1.1000000000000001</v>
      </c>
      <c r="G3046" s="11" t="s">
        <v>4</v>
      </c>
      <c r="H3046" s="13">
        <v>2000</v>
      </c>
      <c r="I3046" s="14">
        <f t="shared" si="110"/>
        <v>-6.8943999999998527E-3</v>
      </c>
      <c r="J3046" s="13">
        <f t="shared" si="111"/>
        <v>19836.799999999996</v>
      </c>
    </row>
    <row r="3047" spans="1:10" x14ac:dyDescent="0.25">
      <c r="A3047" s="10">
        <v>40525</v>
      </c>
      <c r="B3047" s="11" t="s">
        <v>2</v>
      </c>
      <c r="C3047" s="11" t="s">
        <v>5</v>
      </c>
      <c r="D3047" s="16" t="str">
        <f>HYPERLINK("https://freddywills.com/pick/4616/vikings-4-5.html", "Vikings +4.5")</f>
        <v>Vikings +4.5</v>
      </c>
      <c r="E3047" s="11">
        <v>3.3</v>
      </c>
      <c r="F3047" s="11">
        <v>-1.1000000000000001</v>
      </c>
      <c r="G3047" s="11" t="s">
        <v>6</v>
      </c>
      <c r="H3047" s="13">
        <v>-3300</v>
      </c>
      <c r="I3047" s="14">
        <f t="shared" ref="I3047:I3110" si="112">H3047/100000+I3048</f>
        <v>-2.6894399999999853E-2</v>
      </c>
      <c r="J3047" s="13">
        <f t="shared" ref="J3047:J3110" si="113">H3047+J3048</f>
        <v>17836.799999999996</v>
      </c>
    </row>
    <row r="3048" spans="1:10" x14ac:dyDescent="0.25">
      <c r="A3048" s="10">
        <v>40525</v>
      </c>
      <c r="B3048" s="11" t="s">
        <v>2</v>
      </c>
      <c r="C3048" s="11" t="s">
        <v>5</v>
      </c>
      <c r="D3048" s="16" t="str">
        <f>HYPERLINK("https://freddywills.com/pick/4617/ravens-3.html", "Ravens -3")</f>
        <v>Ravens -3</v>
      </c>
      <c r="E3048" s="11">
        <v>4.4000000000000004</v>
      </c>
      <c r="F3048" s="11">
        <v>-1.1000000000000001</v>
      </c>
      <c r="G3048" s="11" t="s">
        <v>4</v>
      </c>
      <c r="H3048" s="13">
        <v>4000</v>
      </c>
      <c r="I3048" s="14">
        <f t="shared" si="112"/>
        <v>6.1056000000001484E-3</v>
      </c>
      <c r="J3048" s="13">
        <f t="shared" si="113"/>
        <v>21136.799999999996</v>
      </c>
    </row>
    <row r="3049" spans="1:10" x14ac:dyDescent="0.25">
      <c r="A3049" s="10">
        <v>40524</v>
      </c>
      <c r="B3049" s="11" t="s">
        <v>2</v>
      </c>
      <c r="C3049" s="11" t="s">
        <v>5</v>
      </c>
      <c r="D3049" s="16" t="str">
        <f>HYPERLINK("https://freddywills.com/pick/4618/redskins-1.html", "Redskins +1")</f>
        <v>Redskins +1</v>
      </c>
      <c r="E3049" s="11">
        <v>3.3</v>
      </c>
      <c r="F3049" s="11">
        <v>-1.1000000000000001</v>
      </c>
      <c r="G3049" s="11" t="s">
        <v>9</v>
      </c>
      <c r="H3049" s="13">
        <v>0</v>
      </c>
      <c r="I3049" s="14">
        <f t="shared" si="112"/>
        <v>-3.3894399999999852E-2</v>
      </c>
      <c r="J3049" s="13">
        <f t="shared" si="113"/>
        <v>17136.799999999996</v>
      </c>
    </row>
    <row r="3050" spans="1:10" x14ac:dyDescent="0.25">
      <c r="A3050" s="10">
        <v>40524</v>
      </c>
      <c r="B3050" s="11" t="s">
        <v>2</v>
      </c>
      <c r="C3050" s="11" t="s">
        <v>5</v>
      </c>
      <c r="D3050" s="16" t="str">
        <f>HYPERLINK("https://freddywills.com/pick/4619/raiders-4.html", "Raiders +4")</f>
        <v>Raiders +4</v>
      </c>
      <c r="E3050" s="11">
        <v>1.1000000000000001</v>
      </c>
      <c r="F3050" s="11">
        <v>-1.1000000000000001</v>
      </c>
      <c r="G3050" s="11" t="s">
        <v>6</v>
      </c>
      <c r="H3050" s="13">
        <v>-1100</v>
      </c>
      <c r="I3050" s="14">
        <f t="shared" si="112"/>
        <v>-3.3894399999999852E-2</v>
      </c>
      <c r="J3050" s="13">
        <f t="shared" si="113"/>
        <v>17136.799999999996</v>
      </c>
    </row>
    <row r="3051" spans="1:10" x14ac:dyDescent="0.25">
      <c r="A3051" s="10">
        <v>40524</v>
      </c>
      <c r="B3051" s="11" t="s">
        <v>2</v>
      </c>
      <c r="C3051" s="11" t="s">
        <v>5</v>
      </c>
      <c r="D3051" s="16" t="str">
        <f>HYPERLINK("https://freddywills.com/pick/4620/bills-pk.html", "Bills pk")</f>
        <v>Bills pk</v>
      </c>
      <c r="E3051" s="11">
        <v>5.5</v>
      </c>
      <c r="F3051" s="11">
        <v>-1.1000000000000001</v>
      </c>
      <c r="G3051" s="11" t="s">
        <v>4</v>
      </c>
      <c r="H3051" s="13">
        <v>5000</v>
      </c>
      <c r="I3051" s="14">
        <f t="shared" si="112"/>
        <v>-2.2894399999999857E-2</v>
      </c>
      <c r="J3051" s="13">
        <f t="shared" si="113"/>
        <v>18236.799999999996</v>
      </c>
    </row>
    <row r="3052" spans="1:10" x14ac:dyDescent="0.25">
      <c r="A3052" s="10">
        <v>40524</v>
      </c>
      <c r="B3052" s="11" t="s">
        <v>2</v>
      </c>
      <c r="C3052" s="11" t="s">
        <v>5</v>
      </c>
      <c r="D3052" s="16" t="str">
        <f>HYPERLINK("https://freddywills.com/pick/4621/bears-5.html", "Bears +5")</f>
        <v>Bears +5</v>
      </c>
      <c r="E3052" s="11">
        <v>5</v>
      </c>
      <c r="F3052" s="11">
        <v>-1.1000000000000001</v>
      </c>
      <c r="G3052" s="11" t="s">
        <v>6</v>
      </c>
      <c r="H3052" s="13">
        <v>-5000</v>
      </c>
      <c r="I3052" s="14">
        <f t="shared" si="112"/>
        <v>-7.2894399999999859E-2</v>
      </c>
      <c r="J3052" s="13">
        <f t="shared" si="113"/>
        <v>13236.799999999996</v>
      </c>
    </row>
    <row r="3053" spans="1:10" x14ac:dyDescent="0.25">
      <c r="A3053" s="10">
        <v>40524</v>
      </c>
      <c r="B3053" s="11" t="s">
        <v>2</v>
      </c>
      <c r="C3053" s="11" t="s">
        <v>18</v>
      </c>
      <c r="D3053" s="16" t="str">
        <f>HYPERLINK("https://freddywills.com/pick/4622/bears-135.html", "Bears +135")</f>
        <v>Bears +135</v>
      </c>
      <c r="E3053" s="11">
        <v>1</v>
      </c>
      <c r="F3053" s="11">
        <v>1.35</v>
      </c>
      <c r="G3053" s="11" t="s">
        <v>6</v>
      </c>
      <c r="H3053" s="13">
        <v>-1000</v>
      </c>
      <c r="I3053" s="14">
        <f t="shared" si="112"/>
        <v>-2.2894399999999857E-2</v>
      </c>
      <c r="J3053" s="13">
        <f t="shared" si="113"/>
        <v>18236.799999999996</v>
      </c>
    </row>
    <row r="3054" spans="1:10" x14ac:dyDescent="0.25">
      <c r="A3054" s="10">
        <v>40523</v>
      </c>
      <c r="B3054" s="11" t="s">
        <v>8</v>
      </c>
      <c r="C3054" s="11" t="s">
        <v>5</v>
      </c>
      <c r="D3054" s="16" t="str">
        <f>HYPERLINK("https://freddywills.com/pick/4624/army-7-5.html", "Army +7.5")</f>
        <v>Army +7.5</v>
      </c>
      <c r="E3054" s="11">
        <v>4.4000000000000004</v>
      </c>
      <c r="F3054" s="11">
        <v>-1.1000000000000001</v>
      </c>
      <c r="G3054" s="11" t="s">
        <v>6</v>
      </c>
      <c r="H3054" s="13">
        <v>-4400</v>
      </c>
      <c r="I3054" s="14">
        <f t="shared" si="112"/>
        <v>-1.2894399999999855E-2</v>
      </c>
      <c r="J3054" s="13">
        <f t="shared" si="113"/>
        <v>19236.799999999996</v>
      </c>
    </row>
    <row r="3055" spans="1:10" x14ac:dyDescent="0.25">
      <c r="A3055" s="10">
        <v>40523</v>
      </c>
      <c r="B3055" s="11" t="s">
        <v>8</v>
      </c>
      <c r="C3055" s="11" t="s">
        <v>7</v>
      </c>
      <c r="D3055" s="16" t="str">
        <f>HYPERLINK("https://freddywills.com/pick/4625/army-navy-u53.html", "Army/Navy U53")</f>
        <v>Army/Navy U53</v>
      </c>
      <c r="E3055" s="11">
        <v>1.1000000000000001</v>
      </c>
      <c r="F3055" s="11">
        <v>-1.1000000000000001</v>
      </c>
      <c r="G3055" s="11" t="s">
        <v>4</v>
      </c>
      <c r="H3055" s="13">
        <v>1000</v>
      </c>
      <c r="I3055" s="14">
        <f t="shared" si="112"/>
        <v>3.1105600000000143E-2</v>
      </c>
      <c r="J3055" s="13">
        <f t="shared" si="113"/>
        <v>23636.799999999996</v>
      </c>
    </row>
    <row r="3056" spans="1:10" x14ac:dyDescent="0.25">
      <c r="A3056" s="10">
        <v>40521</v>
      </c>
      <c r="B3056" s="11" t="s">
        <v>2</v>
      </c>
      <c r="C3056" s="11" t="s">
        <v>5</v>
      </c>
      <c r="D3056" s="16" t="str">
        <f>HYPERLINK("https://freddywills.com/pick/4627/colts-3-wow-100.html", "Colts -3 WOW*100")</f>
        <v>Colts -3 WOW*100</v>
      </c>
      <c r="E3056" s="11">
        <v>4.4000000000000004</v>
      </c>
      <c r="F3056" s="11">
        <v>1</v>
      </c>
      <c r="G3056" s="11" t="s">
        <v>6</v>
      </c>
      <c r="H3056" s="13">
        <v>-4400</v>
      </c>
      <c r="I3056" s="14">
        <f t="shared" si="112"/>
        <v>2.1105600000000141E-2</v>
      </c>
      <c r="J3056" s="13">
        <f t="shared" si="113"/>
        <v>22636.799999999996</v>
      </c>
    </row>
    <row r="3057" spans="1:10" x14ac:dyDescent="0.25">
      <c r="A3057" s="10">
        <v>40517</v>
      </c>
      <c r="B3057" s="11" t="s">
        <v>2</v>
      </c>
      <c r="C3057" s="11" t="s">
        <v>5</v>
      </c>
      <c r="D3057" s="16" t="str">
        <f>HYPERLINK("https://freddywills.com/pick/4630/redskins-7-5.html", "Redskins +7.5")</f>
        <v>Redskins +7.5</v>
      </c>
      <c r="E3057" s="11">
        <v>5</v>
      </c>
      <c r="F3057" s="11">
        <v>-1.1000000000000001</v>
      </c>
      <c r="G3057" s="11" t="s">
        <v>6</v>
      </c>
      <c r="H3057" s="13">
        <v>-5000</v>
      </c>
      <c r="I3057" s="14">
        <f t="shared" si="112"/>
        <v>6.5105600000000138E-2</v>
      </c>
      <c r="J3057" s="13">
        <f t="shared" si="113"/>
        <v>27036.799999999996</v>
      </c>
    </row>
    <row r="3058" spans="1:10" x14ac:dyDescent="0.25">
      <c r="A3058" s="10">
        <v>40517</v>
      </c>
      <c r="B3058" s="11" t="s">
        <v>2</v>
      </c>
      <c r="C3058" s="11" t="s">
        <v>5</v>
      </c>
      <c r="D3058" s="16" t="str">
        <f>HYPERLINK("https://freddywills.com/pick/4631/lions-4-5.html", "Lions +4.5")</f>
        <v>Lions +4.5</v>
      </c>
      <c r="E3058" s="11">
        <v>3.3</v>
      </c>
      <c r="F3058" s="11">
        <v>-1.1000000000000001</v>
      </c>
      <c r="G3058" s="11" t="s">
        <v>4</v>
      </c>
      <c r="H3058" s="13">
        <v>3000</v>
      </c>
      <c r="I3058" s="14">
        <f t="shared" si="112"/>
        <v>0.11510560000000014</v>
      </c>
      <c r="J3058" s="13">
        <f t="shared" si="113"/>
        <v>32036.799999999996</v>
      </c>
    </row>
    <row r="3059" spans="1:10" x14ac:dyDescent="0.25">
      <c r="A3059" s="10">
        <v>40516</v>
      </c>
      <c r="B3059" s="11" t="s">
        <v>8</v>
      </c>
      <c r="C3059" s="11" t="s">
        <v>5</v>
      </c>
      <c r="D3059" s="16" t="str">
        <f>HYPERLINK("https://freddywills.com/pick/4632/smu-9.html", "SMU +9")</f>
        <v>SMU +9</v>
      </c>
      <c r="E3059" s="11">
        <v>4</v>
      </c>
      <c r="F3059" s="11">
        <v>-1.1000000000000001</v>
      </c>
      <c r="G3059" s="11" t="s">
        <v>6</v>
      </c>
      <c r="H3059" s="13">
        <v>-4000</v>
      </c>
      <c r="I3059" s="14">
        <f t="shared" si="112"/>
        <v>8.5105600000000142E-2</v>
      </c>
      <c r="J3059" s="13">
        <f t="shared" si="113"/>
        <v>29036.799999999996</v>
      </c>
    </row>
    <row r="3060" spans="1:10" x14ac:dyDescent="0.25">
      <c r="A3060" s="10">
        <v>40516</v>
      </c>
      <c r="B3060" s="11" t="s">
        <v>8</v>
      </c>
      <c r="C3060" s="11" t="s">
        <v>18</v>
      </c>
      <c r="D3060" s="16" t="str">
        <f>HYPERLINK("https://freddywills.com/pick/4633/smu-285.html", "SMU +285")</f>
        <v>SMU +285</v>
      </c>
      <c r="E3060" s="11">
        <v>1</v>
      </c>
      <c r="F3060" s="11">
        <v>2.85</v>
      </c>
      <c r="G3060" s="11" t="s">
        <v>6</v>
      </c>
      <c r="H3060" s="13">
        <v>-1000</v>
      </c>
      <c r="I3060" s="14">
        <f t="shared" si="112"/>
        <v>0.12510560000000015</v>
      </c>
      <c r="J3060" s="13">
        <f t="shared" si="113"/>
        <v>33036.799999999996</v>
      </c>
    </row>
    <row r="3061" spans="1:10" x14ac:dyDescent="0.25">
      <c r="A3061" s="10">
        <v>40516</v>
      </c>
      <c r="B3061" s="11" t="s">
        <v>8</v>
      </c>
      <c r="C3061" s="11" t="s">
        <v>5</v>
      </c>
      <c r="D3061" s="16" t="str">
        <f>HYPERLINK("https://freddywills.com/pick/4634/auburn-5-5.html", "Auburn -5.5")</f>
        <v>Auburn -5.5</v>
      </c>
      <c r="E3061" s="11">
        <v>5.5</v>
      </c>
      <c r="F3061" s="11">
        <v>-1.1000000000000001</v>
      </c>
      <c r="G3061" s="11" t="s">
        <v>4</v>
      </c>
      <c r="H3061" s="13">
        <v>5000</v>
      </c>
      <c r="I3061" s="14">
        <f t="shared" si="112"/>
        <v>0.13510560000000016</v>
      </c>
      <c r="J3061" s="13">
        <f t="shared" si="113"/>
        <v>34036.799999999996</v>
      </c>
    </row>
    <row r="3062" spans="1:10" x14ac:dyDescent="0.25">
      <c r="A3062" s="10">
        <v>40516</v>
      </c>
      <c r="B3062" s="11" t="s">
        <v>8</v>
      </c>
      <c r="C3062" s="11" t="s">
        <v>5</v>
      </c>
      <c r="D3062" s="16" t="str">
        <f>HYPERLINK("https://freddywills.com/pick/4635/oklahoma-4-5.html", "Oklahoma -4.5")</f>
        <v>Oklahoma -4.5</v>
      </c>
      <c r="E3062" s="11">
        <v>3.3</v>
      </c>
      <c r="F3062" s="11">
        <v>-1.1000000000000001</v>
      </c>
      <c r="G3062" s="11" t="s">
        <v>6</v>
      </c>
      <c r="H3062" s="13">
        <v>-3300</v>
      </c>
      <c r="I3062" s="14">
        <f t="shared" si="112"/>
        <v>8.5105600000000156E-2</v>
      </c>
      <c r="J3062" s="13">
        <f t="shared" si="113"/>
        <v>29036.799999999996</v>
      </c>
    </row>
    <row r="3063" spans="1:10" x14ac:dyDescent="0.25">
      <c r="A3063" s="10">
        <v>40516</v>
      </c>
      <c r="B3063" s="11" t="s">
        <v>8</v>
      </c>
      <c r="C3063" s="11" t="s">
        <v>5</v>
      </c>
      <c r="D3063" s="16" t="str">
        <f>HYPERLINK("https://freddywills.com/pick/4636/washington-st-6.html", "Washington St +6")</f>
        <v>Washington St +6</v>
      </c>
      <c r="E3063" s="11">
        <v>1.1000000000000001</v>
      </c>
      <c r="F3063" s="11">
        <v>-1.1000000000000001</v>
      </c>
      <c r="G3063" s="11" t="s">
        <v>6</v>
      </c>
      <c r="H3063" s="13">
        <v>-1100</v>
      </c>
      <c r="I3063" s="14">
        <f t="shared" si="112"/>
        <v>0.11810560000000016</v>
      </c>
      <c r="J3063" s="13">
        <f t="shared" si="113"/>
        <v>32336.799999999996</v>
      </c>
    </row>
    <row r="3064" spans="1:10" x14ac:dyDescent="0.25">
      <c r="A3064" s="10">
        <v>40516</v>
      </c>
      <c r="B3064" s="11" t="s">
        <v>8</v>
      </c>
      <c r="C3064" s="11" t="s">
        <v>5</v>
      </c>
      <c r="D3064" s="16" t="str">
        <f>HYPERLINK("https://freddywills.com/pick/4637/florida-st-4.html", "Florida St +4")</f>
        <v>Florida St +4</v>
      </c>
      <c r="E3064" s="11">
        <v>5</v>
      </c>
      <c r="F3064" s="11">
        <v>-1.1000000000000001</v>
      </c>
      <c r="G3064" s="11" t="s">
        <v>6</v>
      </c>
      <c r="H3064" s="13">
        <v>-5000</v>
      </c>
      <c r="I3064" s="14">
        <f t="shared" si="112"/>
        <v>0.12910560000000015</v>
      </c>
      <c r="J3064" s="13">
        <f t="shared" si="113"/>
        <v>33436.799999999996</v>
      </c>
    </row>
    <row r="3065" spans="1:10" x14ac:dyDescent="0.25">
      <c r="A3065" s="10">
        <v>40515</v>
      </c>
      <c r="B3065" s="11" t="s">
        <v>8</v>
      </c>
      <c r="C3065" s="11" t="s">
        <v>5</v>
      </c>
      <c r="D3065" s="16" t="str">
        <f>HYPERLINK("https://freddywills.com/pick/4638/fresno-st-6-120.html", "Fresno St +6 -120")</f>
        <v>Fresno St +6 -120</v>
      </c>
      <c r="E3065" s="11">
        <v>4</v>
      </c>
      <c r="F3065" s="11">
        <v>-1.2</v>
      </c>
      <c r="G3065" s="11" t="s">
        <v>4</v>
      </c>
      <c r="H3065" s="13">
        <v>3333.33</v>
      </c>
      <c r="I3065" s="14">
        <f t="shared" si="112"/>
        <v>0.17910560000000014</v>
      </c>
      <c r="J3065" s="13">
        <f t="shared" si="113"/>
        <v>38436.799999999996</v>
      </c>
    </row>
    <row r="3066" spans="1:10" x14ac:dyDescent="0.25">
      <c r="A3066" s="10">
        <v>40514</v>
      </c>
      <c r="B3066" s="11" t="s">
        <v>8</v>
      </c>
      <c r="C3066" s="11" t="s">
        <v>5</v>
      </c>
      <c r="D3066" s="16" t="str">
        <f>HYPERLINK("https://freddywills.com/pick/4640/ariz-st-6.html", "Ariz st +6")</f>
        <v>Ariz st +6</v>
      </c>
      <c r="E3066" s="11">
        <v>4.4000000000000004</v>
      </c>
      <c r="F3066" s="11">
        <v>-1.1000000000000001</v>
      </c>
      <c r="G3066" s="11" t="s">
        <v>4</v>
      </c>
      <c r="H3066" s="13">
        <v>4000</v>
      </c>
      <c r="I3066" s="14">
        <f t="shared" si="112"/>
        <v>0.14577230000000013</v>
      </c>
      <c r="J3066" s="13">
        <f t="shared" si="113"/>
        <v>35103.469999999994</v>
      </c>
    </row>
    <row r="3067" spans="1:10" x14ac:dyDescent="0.25">
      <c r="A3067" s="10">
        <v>40514</v>
      </c>
      <c r="B3067" s="11" t="s">
        <v>2</v>
      </c>
      <c r="C3067" s="11" t="s">
        <v>10</v>
      </c>
      <c r="D3067" s="16" t="str">
        <f>HYPERLINK("https://freddywills.com/pick/4641/eagles-2-over46.html", "Eagles-2 over46")</f>
        <v>Eagles-2 over46</v>
      </c>
      <c r="E3067" s="11">
        <v>2.75</v>
      </c>
      <c r="F3067" s="11">
        <v>-1.1000000000000001</v>
      </c>
      <c r="G3067" s="11" t="s">
        <v>4</v>
      </c>
      <c r="H3067" s="13">
        <v>2500</v>
      </c>
      <c r="I3067" s="14">
        <f t="shared" si="112"/>
        <v>0.10577230000000012</v>
      </c>
      <c r="J3067" s="13">
        <f t="shared" si="113"/>
        <v>31103.469999999994</v>
      </c>
    </row>
    <row r="3068" spans="1:10" x14ac:dyDescent="0.25">
      <c r="A3068" s="10">
        <v>40511</v>
      </c>
      <c r="B3068" s="11" t="s">
        <v>2</v>
      </c>
      <c r="C3068" s="11" t="s">
        <v>7</v>
      </c>
      <c r="D3068" s="16" t="str">
        <f>HYPERLINK("https://freddywills.com/pick/4648/sf-ari-o41-5.html", "SF/ARI O41.5")</f>
        <v>SF/ARI O41.5</v>
      </c>
      <c r="E3068" s="11">
        <v>3.3</v>
      </c>
      <c r="F3068" s="11">
        <v>-1.1000000000000001</v>
      </c>
      <c r="G3068" s="11" t="s">
        <v>6</v>
      </c>
      <c r="H3068" s="13">
        <v>-3300</v>
      </c>
      <c r="I3068" s="14">
        <f t="shared" si="112"/>
        <v>8.0772300000000116E-2</v>
      </c>
      <c r="J3068" s="13">
        <f t="shared" si="113"/>
        <v>28603.469999999994</v>
      </c>
    </row>
    <row r="3069" spans="1:10" x14ac:dyDescent="0.25">
      <c r="A3069" s="10">
        <v>40510</v>
      </c>
      <c r="B3069" s="11" t="s">
        <v>2</v>
      </c>
      <c r="C3069" s="11" t="s">
        <v>5</v>
      </c>
      <c r="D3069" s="16" t="str">
        <f>HYPERLINK("https://freddywills.com/pick/4649/vikings-2.html", "Vikings -2")</f>
        <v>Vikings -2</v>
      </c>
      <c r="E3069" s="11">
        <v>5.5</v>
      </c>
      <c r="F3069" s="11">
        <v>-1.1000000000000001</v>
      </c>
      <c r="G3069" s="11" t="s">
        <v>4</v>
      </c>
      <c r="H3069" s="13">
        <v>5000</v>
      </c>
      <c r="I3069" s="14">
        <f t="shared" si="112"/>
        <v>0.11377230000000012</v>
      </c>
      <c r="J3069" s="13">
        <f t="shared" si="113"/>
        <v>31903.469999999994</v>
      </c>
    </row>
    <row r="3070" spans="1:10" x14ac:dyDescent="0.25">
      <c r="A3070" s="10">
        <v>40510</v>
      </c>
      <c r="B3070" s="11" t="s">
        <v>2</v>
      </c>
      <c r="C3070" s="11" t="s">
        <v>5</v>
      </c>
      <c r="D3070" s="16" t="str">
        <f>HYPERLINK("https://freddywills.com/pick/4650/falcons-1.html", "Falcons -1")</f>
        <v>Falcons -1</v>
      </c>
      <c r="E3070" s="11">
        <v>3.3</v>
      </c>
      <c r="F3070" s="11">
        <v>-1.1000000000000001</v>
      </c>
      <c r="G3070" s="11" t="s">
        <v>4</v>
      </c>
      <c r="H3070" s="13">
        <v>3000</v>
      </c>
      <c r="I3070" s="14">
        <f t="shared" si="112"/>
        <v>6.3772300000000115E-2</v>
      </c>
      <c r="J3070" s="13">
        <f t="shared" si="113"/>
        <v>26903.469999999994</v>
      </c>
    </row>
    <row r="3071" spans="1:10" x14ac:dyDescent="0.25">
      <c r="A3071" s="10">
        <v>40510</v>
      </c>
      <c r="B3071" s="11" t="s">
        <v>2</v>
      </c>
      <c r="C3071" s="11" t="s">
        <v>5</v>
      </c>
      <c r="D3071" s="16" t="str">
        <f>HYPERLINK("https://freddywills.com/pick/4651/seahawks-3-120.html", "Seahawks +3 -120")</f>
        <v>Seahawks +3 -120</v>
      </c>
      <c r="E3071" s="11">
        <v>3.5</v>
      </c>
      <c r="F3071" s="11">
        <v>-1.2</v>
      </c>
      <c r="G3071" s="11" t="s">
        <v>6</v>
      </c>
      <c r="H3071" s="13">
        <v>-3500</v>
      </c>
      <c r="I3071" s="14">
        <f t="shared" si="112"/>
        <v>3.3772300000000116E-2</v>
      </c>
      <c r="J3071" s="13">
        <f t="shared" si="113"/>
        <v>23903.469999999994</v>
      </c>
    </row>
    <row r="3072" spans="1:10" x14ac:dyDescent="0.25">
      <c r="A3072" s="10">
        <v>40509</v>
      </c>
      <c r="B3072" s="11" t="s">
        <v>8</v>
      </c>
      <c r="C3072" s="11" t="s">
        <v>5</v>
      </c>
      <c r="D3072" s="16" t="str">
        <f>HYPERLINK("https://freddywills.com/pick/4653/usc-4.html", "USC -4")</f>
        <v>USC -4</v>
      </c>
      <c r="E3072" s="11">
        <v>5.5</v>
      </c>
      <c r="F3072" s="11">
        <v>-1.1000000000000001</v>
      </c>
      <c r="G3072" s="11" t="s">
        <v>6</v>
      </c>
      <c r="H3072" s="13">
        <v>-5500</v>
      </c>
      <c r="I3072" s="14">
        <f t="shared" si="112"/>
        <v>6.8772300000000119E-2</v>
      </c>
      <c r="J3072" s="13">
        <f t="shared" si="113"/>
        <v>27403.469999999994</v>
      </c>
    </row>
    <row r="3073" spans="1:10" x14ac:dyDescent="0.25">
      <c r="A3073" s="10">
        <v>40509</v>
      </c>
      <c r="B3073" s="11" t="s">
        <v>8</v>
      </c>
      <c r="C3073" s="11" t="s">
        <v>5</v>
      </c>
      <c r="D3073" s="16" t="str">
        <f>HYPERLINK("https://freddywills.com/pick/4654/florida-3.html", "Florida +3")</f>
        <v>Florida +3</v>
      </c>
      <c r="E3073" s="11">
        <v>4.4000000000000004</v>
      </c>
      <c r="F3073" s="11">
        <v>-1.1000000000000001</v>
      </c>
      <c r="G3073" s="11" t="s">
        <v>6</v>
      </c>
      <c r="H3073" s="13">
        <v>-4400</v>
      </c>
      <c r="I3073" s="14">
        <f t="shared" si="112"/>
        <v>0.12377230000000013</v>
      </c>
      <c r="J3073" s="13">
        <f t="shared" si="113"/>
        <v>32903.469999999994</v>
      </c>
    </row>
    <row r="3074" spans="1:10" x14ac:dyDescent="0.25">
      <c r="A3074" s="10">
        <v>40509</v>
      </c>
      <c r="B3074" s="11" t="s">
        <v>8</v>
      </c>
      <c r="C3074" s="11" t="s">
        <v>5</v>
      </c>
      <c r="D3074" s="16" t="str">
        <f>HYPERLINK("https://freddywills.com/pick/4655/ark-st-5.html", "Ark St +5")</f>
        <v>Ark St +5</v>
      </c>
      <c r="E3074" s="11">
        <v>3.3</v>
      </c>
      <c r="F3074" s="11">
        <v>-1.1000000000000001</v>
      </c>
      <c r="G3074" s="11" t="s">
        <v>6</v>
      </c>
      <c r="H3074" s="13">
        <v>-3300</v>
      </c>
      <c r="I3074" s="14">
        <f t="shared" si="112"/>
        <v>0.16777230000000012</v>
      </c>
      <c r="J3074" s="13">
        <f t="shared" si="113"/>
        <v>37303.469999999994</v>
      </c>
    </row>
    <row r="3075" spans="1:10" x14ac:dyDescent="0.25">
      <c r="A3075" s="10">
        <v>40509</v>
      </c>
      <c r="B3075" s="11" t="s">
        <v>8</v>
      </c>
      <c r="C3075" s="11" t="s">
        <v>5</v>
      </c>
      <c r="D3075" s="16" t="str">
        <f>HYPERLINK("https://freddywills.com/pick/4656/purdue-3.html", "Purdue -3")</f>
        <v>Purdue -3</v>
      </c>
      <c r="E3075" s="11">
        <v>4.5</v>
      </c>
      <c r="F3075" s="11">
        <v>-1.1000000000000001</v>
      </c>
      <c r="G3075" s="11" t="s">
        <v>6</v>
      </c>
      <c r="H3075" s="13">
        <v>-4500</v>
      </c>
      <c r="I3075" s="14">
        <f t="shared" si="112"/>
        <v>0.20077230000000013</v>
      </c>
      <c r="J3075" s="13">
        <f t="shared" si="113"/>
        <v>40603.469999999994</v>
      </c>
    </row>
    <row r="3076" spans="1:10" x14ac:dyDescent="0.25">
      <c r="A3076" s="10">
        <v>40509</v>
      </c>
      <c r="B3076" s="11" t="s">
        <v>8</v>
      </c>
      <c r="C3076" s="11" t="s">
        <v>5</v>
      </c>
      <c r="D3076" s="16" t="str">
        <f>HYPERLINK("https://freddywills.com/pick/4657/tenn-2-5.html", "Tenn -2.5")</f>
        <v>Tenn -2.5</v>
      </c>
      <c r="E3076" s="11">
        <v>3.3</v>
      </c>
      <c r="F3076" s="11">
        <v>-1.1000000000000001</v>
      </c>
      <c r="G3076" s="11" t="s">
        <v>4</v>
      </c>
      <c r="H3076" s="13">
        <v>3000</v>
      </c>
      <c r="I3076" s="14">
        <f t="shared" si="112"/>
        <v>0.24577230000000014</v>
      </c>
      <c r="J3076" s="13">
        <f t="shared" si="113"/>
        <v>45103.469999999994</v>
      </c>
    </row>
    <row r="3077" spans="1:10" x14ac:dyDescent="0.25">
      <c r="A3077" s="10">
        <v>40508</v>
      </c>
      <c r="B3077" s="11" t="s">
        <v>8</v>
      </c>
      <c r="C3077" s="11" t="s">
        <v>5</v>
      </c>
      <c r="D3077" s="16" t="str">
        <f>HYPERLINK("https://freddywills.com/pick/4658/wmich-6-5.html", "Wmich -6.5")</f>
        <v>Wmich -6.5</v>
      </c>
      <c r="E3077" s="11">
        <v>5.5</v>
      </c>
      <c r="F3077" s="11">
        <v>-1.1000000000000001</v>
      </c>
      <c r="G3077" s="11" t="s">
        <v>4</v>
      </c>
      <c r="H3077" s="13">
        <v>5000</v>
      </c>
      <c r="I3077" s="14">
        <f t="shared" si="112"/>
        <v>0.21577230000000014</v>
      </c>
      <c r="J3077" s="13">
        <f t="shared" si="113"/>
        <v>42103.469999999994</v>
      </c>
    </row>
    <row r="3078" spans="1:10" x14ac:dyDescent="0.25">
      <c r="A3078" s="10">
        <v>40508</v>
      </c>
      <c r="B3078" s="11" t="s">
        <v>8</v>
      </c>
      <c r="C3078" s="11" t="s">
        <v>5</v>
      </c>
      <c r="D3078" s="16" t="str">
        <f>HYPERLINK("https://freddywills.com/pick/4659/wvirg-3.html", "WVirg +3")</f>
        <v>WVirg +3</v>
      </c>
      <c r="E3078" s="11">
        <v>3.3</v>
      </c>
      <c r="F3078" s="11">
        <v>-1.1000000000000001</v>
      </c>
      <c r="G3078" s="11" t="s">
        <v>4</v>
      </c>
      <c r="H3078" s="13">
        <v>3000</v>
      </c>
      <c r="I3078" s="14">
        <f t="shared" si="112"/>
        <v>0.16577230000000012</v>
      </c>
      <c r="J3078" s="13">
        <f t="shared" si="113"/>
        <v>37103.469999999994</v>
      </c>
    </row>
    <row r="3079" spans="1:10" x14ac:dyDescent="0.25">
      <c r="A3079" s="10">
        <v>40508</v>
      </c>
      <c r="B3079" s="11" t="s">
        <v>8</v>
      </c>
      <c r="C3079" s="11" t="s">
        <v>5</v>
      </c>
      <c r="D3079" s="16" t="str">
        <f>HYPERLINK("https://freddywills.com/pick/4660/alabama-4.html", "Alabama -4")</f>
        <v>Alabama -4</v>
      </c>
      <c r="E3079" s="11">
        <v>4.4000000000000004</v>
      </c>
      <c r="F3079" s="11">
        <v>-1.1000000000000001</v>
      </c>
      <c r="G3079" s="11" t="s">
        <v>6</v>
      </c>
      <c r="H3079" s="13">
        <v>-4400</v>
      </c>
      <c r="I3079" s="14">
        <f t="shared" si="112"/>
        <v>0.13577230000000012</v>
      </c>
      <c r="J3079" s="13">
        <f t="shared" si="113"/>
        <v>34103.469999999994</v>
      </c>
    </row>
    <row r="3080" spans="1:10" x14ac:dyDescent="0.25">
      <c r="A3080" s="10">
        <v>40507</v>
      </c>
      <c r="B3080" s="11" t="s">
        <v>8</v>
      </c>
      <c r="C3080" s="11" t="s">
        <v>5</v>
      </c>
      <c r="D3080" s="16" t="str">
        <f>HYPERLINK("https://freddywills.com/pick/4662/texas-3-5.html", "Texas +3.5")</f>
        <v>Texas +3.5</v>
      </c>
      <c r="E3080" s="11">
        <v>4.4000000000000004</v>
      </c>
      <c r="F3080" s="11">
        <v>-1.1000000000000001</v>
      </c>
      <c r="G3080" s="11" t="s">
        <v>6</v>
      </c>
      <c r="H3080" s="13">
        <v>-4400</v>
      </c>
      <c r="I3080" s="14">
        <f t="shared" si="112"/>
        <v>0.17977230000000011</v>
      </c>
      <c r="J3080" s="13">
        <f t="shared" si="113"/>
        <v>38503.469999999994</v>
      </c>
    </row>
    <row r="3081" spans="1:10" x14ac:dyDescent="0.25">
      <c r="A3081" s="10">
        <v>40507</v>
      </c>
      <c r="B3081" s="11" t="s">
        <v>2</v>
      </c>
      <c r="C3081" s="11" t="s">
        <v>5</v>
      </c>
      <c r="D3081" s="16" t="str">
        <f>HYPERLINK("https://freddywills.com/pick/4663/saints-3-125.html", "Saints -3 -125")</f>
        <v>Saints -3 -125</v>
      </c>
      <c r="E3081" s="11">
        <v>4</v>
      </c>
      <c r="F3081" s="11">
        <v>-1.1000000000000001</v>
      </c>
      <c r="G3081" s="11" t="s">
        <v>9</v>
      </c>
      <c r="H3081" s="13">
        <v>0</v>
      </c>
      <c r="I3081" s="14">
        <f t="shared" si="112"/>
        <v>0.22377230000000009</v>
      </c>
      <c r="J3081" s="13">
        <f t="shared" si="113"/>
        <v>42903.469999999994</v>
      </c>
    </row>
    <row r="3082" spans="1:10" x14ac:dyDescent="0.25">
      <c r="A3082" s="10">
        <v>40507</v>
      </c>
      <c r="B3082" s="11" t="s">
        <v>2</v>
      </c>
      <c r="C3082" s="11" t="s">
        <v>5</v>
      </c>
      <c r="D3082" s="16" t="str">
        <f>HYPERLINK("https://freddywills.com/pick/4664/lions-7.html", "Lions +7")</f>
        <v>Lions +7</v>
      </c>
      <c r="E3082" s="11">
        <v>5.5</v>
      </c>
      <c r="F3082" s="11">
        <v>-1.1000000000000001</v>
      </c>
      <c r="G3082" s="11" t="s">
        <v>6</v>
      </c>
      <c r="H3082" s="13">
        <v>-5500</v>
      </c>
      <c r="I3082" s="14">
        <f t="shared" si="112"/>
        <v>0.22377230000000009</v>
      </c>
      <c r="J3082" s="13">
        <f t="shared" si="113"/>
        <v>42903.469999999994</v>
      </c>
    </row>
    <row r="3083" spans="1:10" x14ac:dyDescent="0.25">
      <c r="A3083" s="10">
        <v>40507</v>
      </c>
      <c r="B3083" s="11" t="s">
        <v>2</v>
      </c>
      <c r="C3083" s="11" t="s">
        <v>3</v>
      </c>
      <c r="D3083" s="16" t="str">
        <f>HYPERLINK("https://freddywills.com/pick/4665/lions-score-first-130.html", "Lions Score First +130")</f>
        <v>Lions Score First +130</v>
      </c>
      <c r="E3083" s="11">
        <v>1</v>
      </c>
      <c r="F3083" s="11">
        <v>-1.1000000000000001</v>
      </c>
      <c r="G3083" s="11" t="s">
        <v>6</v>
      </c>
      <c r="H3083" s="13">
        <v>-1000</v>
      </c>
      <c r="I3083" s="14">
        <f t="shared" si="112"/>
        <v>0.27877230000000008</v>
      </c>
      <c r="J3083" s="13">
        <f t="shared" si="113"/>
        <v>48403.469999999994</v>
      </c>
    </row>
    <row r="3084" spans="1:10" x14ac:dyDescent="0.25">
      <c r="A3084" s="10">
        <v>40507</v>
      </c>
      <c r="B3084" s="11" t="s">
        <v>2</v>
      </c>
      <c r="C3084" s="11" t="s">
        <v>3</v>
      </c>
      <c r="D3084" s="16" t="str">
        <f>HYPERLINK("https://freddywills.com/pick/4666/barber-u3-5-yds.html", "Barber U3.5 yds")</f>
        <v>Barber U3.5 yds</v>
      </c>
      <c r="E3084" s="11">
        <v>1.1499999999999999</v>
      </c>
      <c r="F3084" s="11">
        <v>-1.1000000000000001</v>
      </c>
      <c r="G3084" s="11" t="s">
        <v>4</v>
      </c>
      <c r="H3084" s="13">
        <v>1000</v>
      </c>
      <c r="I3084" s="14">
        <f t="shared" si="112"/>
        <v>0.28877230000000009</v>
      </c>
      <c r="J3084" s="13">
        <f t="shared" si="113"/>
        <v>49403.469999999994</v>
      </c>
    </row>
    <row r="3085" spans="1:10" x14ac:dyDescent="0.25">
      <c r="A3085" s="10">
        <v>40507</v>
      </c>
      <c r="B3085" s="11" t="s">
        <v>2</v>
      </c>
      <c r="C3085" s="11" t="s">
        <v>3</v>
      </c>
      <c r="D3085" s="16" t="str">
        <f>HYPERLINK("https://freddywills.com/pick/4667/owens-u73-5.html", "Owens U73.5")</f>
        <v>Owens U73.5</v>
      </c>
      <c r="E3085" s="11">
        <v>2.2999999999999998</v>
      </c>
      <c r="F3085" s="11">
        <v>-1.1000000000000001</v>
      </c>
      <c r="G3085" s="11" t="s">
        <v>4</v>
      </c>
      <c r="H3085" s="13">
        <v>2000</v>
      </c>
      <c r="I3085" s="14">
        <f t="shared" si="112"/>
        <v>0.27877230000000008</v>
      </c>
      <c r="J3085" s="13">
        <f t="shared" si="113"/>
        <v>48403.469999999994</v>
      </c>
    </row>
    <row r="3086" spans="1:10" x14ac:dyDescent="0.25">
      <c r="A3086" s="10">
        <v>40505</v>
      </c>
      <c r="B3086" s="11" t="s">
        <v>8</v>
      </c>
      <c r="C3086" s="11" t="s">
        <v>7</v>
      </c>
      <c r="D3086" s="16" t="str">
        <f>HYPERLINK("https://freddywills.com/pick/4670/temple-mia-u45.html", "Temple/Mia U45")</f>
        <v>Temple/Mia U45</v>
      </c>
      <c r="E3086" s="11">
        <v>3.3</v>
      </c>
      <c r="F3086" s="11">
        <v>-1.1000000000000001</v>
      </c>
      <c r="G3086" s="11" t="s">
        <v>4</v>
      </c>
      <c r="H3086" s="13">
        <v>3000</v>
      </c>
      <c r="I3086" s="14">
        <f t="shared" si="112"/>
        <v>0.25877230000000007</v>
      </c>
      <c r="J3086" s="13">
        <f t="shared" si="113"/>
        <v>46403.469999999994</v>
      </c>
    </row>
    <row r="3087" spans="1:10" x14ac:dyDescent="0.25">
      <c r="A3087" s="10">
        <v>40504</v>
      </c>
      <c r="B3087" s="11" t="s">
        <v>2</v>
      </c>
      <c r="C3087" s="11" t="s">
        <v>5</v>
      </c>
      <c r="D3087" s="16" t="str">
        <f>HYPERLINK("https://freddywills.com/pick/4673/chargers-8-5.html", "Chargers -8.5")</f>
        <v>Chargers -8.5</v>
      </c>
      <c r="E3087" s="11">
        <v>3.5</v>
      </c>
      <c r="F3087" s="11">
        <v>-1.1000000000000001</v>
      </c>
      <c r="G3087" s="11" t="s">
        <v>4</v>
      </c>
      <c r="H3087" s="13">
        <v>3181.82</v>
      </c>
      <c r="I3087" s="14">
        <f t="shared" si="112"/>
        <v>0.22877230000000004</v>
      </c>
      <c r="J3087" s="13">
        <f t="shared" si="113"/>
        <v>43403.469999999994</v>
      </c>
    </row>
    <row r="3088" spans="1:10" x14ac:dyDescent="0.25">
      <c r="A3088" s="10">
        <v>40503</v>
      </c>
      <c r="B3088" s="11" t="s">
        <v>2</v>
      </c>
      <c r="C3088" s="11" t="s">
        <v>5</v>
      </c>
      <c r="D3088" s="16" t="str">
        <f>HYPERLINK("https://freddywills.com/pick/4674/redskins-7.html", "Redskins +7")</f>
        <v>Redskins +7</v>
      </c>
      <c r="E3088" s="11">
        <v>5.5</v>
      </c>
      <c r="F3088" s="11">
        <v>-1.1000000000000001</v>
      </c>
      <c r="G3088" s="11" t="s">
        <v>4</v>
      </c>
      <c r="H3088" s="13">
        <v>5000</v>
      </c>
      <c r="I3088" s="14">
        <f t="shared" si="112"/>
        <v>0.19695410000000002</v>
      </c>
      <c r="J3088" s="13">
        <f t="shared" si="113"/>
        <v>40221.649999999994</v>
      </c>
    </row>
    <row r="3089" spans="1:10" x14ac:dyDescent="0.25">
      <c r="A3089" s="10">
        <v>40503</v>
      </c>
      <c r="B3089" s="11" t="s">
        <v>2</v>
      </c>
      <c r="C3089" s="11" t="s">
        <v>5</v>
      </c>
      <c r="D3089" s="16" t="str">
        <f>HYPERLINK("https://freddywills.com/pick/4675/lions-7-120.html", "Lions +7 -120")</f>
        <v>Lions +7 -120</v>
      </c>
      <c r="E3089" s="11">
        <v>4.5</v>
      </c>
      <c r="F3089" s="11">
        <v>-1.2</v>
      </c>
      <c r="G3089" s="11" t="s">
        <v>6</v>
      </c>
      <c r="H3089" s="13">
        <v>-4500</v>
      </c>
      <c r="I3089" s="14">
        <f t="shared" si="112"/>
        <v>0.14695410000000003</v>
      </c>
      <c r="J3089" s="13">
        <f t="shared" si="113"/>
        <v>35221.649999999994</v>
      </c>
    </row>
    <row r="3090" spans="1:10" x14ac:dyDescent="0.25">
      <c r="A3090" s="10">
        <v>40503</v>
      </c>
      <c r="B3090" s="11" t="s">
        <v>2</v>
      </c>
      <c r="C3090" s="11" t="s">
        <v>5</v>
      </c>
      <c r="D3090" s="16" t="str">
        <f>HYPERLINK("https://freddywills.com/pick/4676/colts-4.html", "Colts +4")</f>
        <v>Colts +4</v>
      </c>
      <c r="E3090" s="11">
        <v>3.3</v>
      </c>
      <c r="F3090" s="11">
        <v>-1.1000000000000001</v>
      </c>
      <c r="G3090" s="11" t="s">
        <v>4</v>
      </c>
      <c r="H3090" s="13">
        <v>3000</v>
      </c>
      <c r="I3090" s="14">
        <f t="shared" si="112"/>
        <v>0.19195410000000002</v>
      </c>
      <c r="J3090" s="13">
        <f t="shared" si="113"/>
        <v>39721.649999999994</v>
      </c>
    </row>
    <row r="3091" spans="1:10" x14ac:dyDescent="0.25">
      <c r="A3091" s="10">
        <v>40502</v>
      </c>
      <c r="B3091" s="11" t="s">
        <v>8</v>
      </c>
      <c r="C3091" s="11" t="s">
        <v>5</v>
      </c>
      <c r="D3091" s="16" t="str">
        <f>HYPERLINK("https://freddywills.com/pick/4677/unc-2-5.html", "UNC -2.5")</f>
        <v>UNC -2.5</v>
      </c>
      <c r="E3091" s="11">
        <v>2.2000000000000002</v>
      </c>
      <c r="F3091" s="11">
        <v>-1.1000000000000001</v>
      </c>
      <c r="G3091" s="11" t="s">
        <v>6</v>
      </c>
      <c r="H3091" s="13">
        <v>-2200</v>
      </c>
      <c r="I3091" s="14">
        <f t="shared" si="112"/>
        <v>0.16195410000000002</v>
      </c>
      <c r="J3091" s="13">
        <f t="shared" si="113"/>
        <v>36721.649999999994</v>
      </c>
    </row>
    <row r="3092" spans="1:10" x14ac:dyDescent="0.25">
      <c r="A3092" s="10">
        <v>40502</v>
      </c>
      <c r="B3092" s="11" t="s">
        <v>8</v>
      </c>
      <c r="C3092" s="11" t="s">
        <v>5</v>
      </c>
      <c r="D3092" s="16" t="str">
        <f>HYPERLINK("https://freddywills.com/pick/4678/army-8-5.html", "Army +8.5")</f>
        <v>Army +8.5</v>
      </c>
      <c r="E3092" s="11">
        <v>4.4000000000000004</v>
      </c>
      <c r="F3092" s="11">
        <v>-1.1000000000000001</v>
      </c>
      <c r="G3092" s="11" t="s">
        <v>6</v>
      </c>
      <c r="H3092" s="13">
        <v>-4400</v>
      </c>
      <c r="I3092" s="14">
        <f t="shared" si="112"/>
        <v>0.18395410000000001</v>
      </c>
      <c r="J3092" s="13">
        <f t="shared" si="113"/>
        <v>38921.649999999994</v>
      </c>
    </row>
    <row r="3093" spans="1:10" x14ac:dyDescent="0.25">
      <c r="A3093" s="10">
        <v>40502</v>
      </c>
      <c r="B3093" s="11" t="s">
        <v>8</v>
      </c>
      <c r="C3093" s="11" t="s">
        <v>5</v>
      </c>
      <c r="D3093" s="16" t="str">
        <f>HYPERLINK("https://freddywills.com/pick/4679/utah-st-2-5.html", "Utah St -2.5")</f>
        <v>Utah St -2.5</v>
      </c>
      <c r="E3093" s="11">
        <v>4.4000000000000004</v>
      </c>
      <c r="F3093" s="11">
        <v>-1.1000000000000001</v>
      </c>
      <c r="G3093" s="11" t="s">
        <v>6</v>
      </c>
      <c r="H3093" s="13">
        <v>-4400</v>
      </c>
      <c r="I3093" s="14">
        <f t="shared" si="112"/>
        <v>0.22795409999999999</v>
      </c>
      <c r="J3093" s="13">
        <f t="shared" si="113"/>
        <v>43321.649999999994</v>
      </c>
    </row>
    <row r="3094" spans="1:10" x14ac:dyDescent="0.25">
      <c r="A3094" s="10">
        <v>40502</v>
      </c>
      <c r="B3094" s="11" t="s">
        <v>8</v>
      </c>
      <c r="C3094" s="11" t="s">
        <v>5</v>
      </c>
      <c r="D3094" s="16" t="str">
        <f>HYPERLINK("https://freddywills.com/pick/4680/duke-10-5.html", "Duke +10.5")</f>
        <v>Duke +10.5</v>
      </c>
      <c r="E3094" s="11">
        <v>3.3</v>
      </c>
      <c r="F3094" s="11">
        <v>-1.1000000000000001</v>
      </c>
      <c r="G3094" s="11" t="s">
        <v>4</v>
      </c>
      <c r="H3094" s="13">
        <v>3000</v>
      </c>
      <c r="I3094" s="14">
        <f t="shared" si="112"/>
        <v>0.27195409999999998</v>
      </c>
      <c r="J3094" s="13">
        <f t="shared" si="113"/>
        <v>47721.649999999994</v>
      </c>
    </row>
    <row r="3095" spans="1:10" x14ac:dyDescent="0.25">
      <c r="A3095" s="10">
        <v>40502</v>
      </c>
      <c r="B3095" s="11" t="s">
        <v>8</v>
      </c>
      <c r="C3095" s="11" t="s">
        <v>5</v>
      </c>
      <c r="D3095" s="16" t="str">
        <f>HYPERLINK("https://freddywills.com/pick/4681/w-mich-3.html", "W.Mich -3")</f>
        <v>W.Mich -3</v>
      </c>
      <c r="E3095" s="11">
        <v>5.5</v>
      </c>
      <c r="F3095" s="11">
        <v>-1.1000000000000001</v>
      </c>
      <c r="G3095" s="11" t="s">
        <v>4</v>
      </c>
      <c r="H3095" s="13">
        <v>5000</v>
      </c>
      <c r="I3095" s="14">
        <f t="shared" si="112"/>
        <v>0.24195409999999995</v>
      </c>
      <c r="J3095" s="13">
        <f t="shared" si="113"/>
        <v>44721.649999999994</v>
      </c>
    </row>
    <row r="3096" spans="1:10" x14ac:dyDescent="0.25">
      <c r="A3096" s="10">
        <v>40500</v>
      </c>
      <c r="B3096" s="11" t="s">
        <v>2</v>
      </c>
      <c r="C3096" s="11" t="s">
        <v>5</v>
      </c>
      <c r="D3096" s="16" t="str">
        <f>HYPERLINK("https://freddywills.com/pick/4684/dolphins-2.html", "Dolphins -2")</f>
        <v>Dolphins -2</v>
      </c>
      <c r="E3096" s="11">
        <v>4</v>
      </c>
      <c r="F3096" s="11">
        <v>-1.1000000000000001</v>
      </c>
      <c r="G3096" s="11" t="s">
        <v>6</v>
      </c>
      <c r="H3096" s="13">
        <v>-4000</v>
      </c>
      <c r="I3096" s="14">
        <f t="shared" si="112"/>
        <v>0.19195409999999996</v>
      </c>
      <c r="J3096" s="13">
        <f t="shared" si="113"/>
        <v>39721.649999999994</v>
      </c>
    </row>
    <row r="3097" spans="1:10" x14ac:dyDescent="0.25">
      <c r="A3097" s="10">
        <v>40500</v>
      </c>
      <c r="B3097" s="11" t="s">
        <v>8</v>
      </c>
      <c r="C3097" s="11" t="s">
        <v>18</v>
      </c>
      <c r="D3097" s="16" t="str">
        <f>HYPERLINK("https://freddywills.com/pick/4685/ucla-111.html", "UCLA +111")</f>
        <v>UCLA +111</v>
      </c>
      <c r="E3097" s="11">
        <v>4</v>
      </c>
      <c r="F3097" s="11">
        <v>1.1100000000000001</v>
      </c>
      <c r="G3097" s="11" t="s">
        <v>6</v>
      </c>
      <c r="H3097" s="13">
        <v>-4000</v>
      </c>
      <c r="I3097" s="14">
        <f t="shared" si="112"/>
        <v>0.23195409999999997</v>
      </c>
      <c r="J3097" s="13">
        <f t="shared" si="113"/>
        <v>43721.649999999994</v>
      </c>
    </row>
    <row r="3098" spans="1:10" x14ac:dyDescent="0.25">
      <c r="A3098" s="10">
        <v>40499</v>
      </c>
      <c r="B3098" s="11" t="s">
        <v>8</v>
      </c>
      <c r="C3098" s="11" t="s">
        <v>5</v>
      </c>
      <c r="D3098" s="16" t="str">
        <f>HYPERLINK("https://freddywills.com/pick/4690/bgreen-10-5.html", "Bgreen +10.5")</f>
        <v>Bgreen +10.5</v>
      </c>
      <c r="E3098" s="11">
        <v>3.85</v>
      </c>
      <c r="F3098" s="11">
        <v>-1.1000000000000001</v>
      </c>
      <c r="G3098" s="11" t="s">
        <v>6</v>
      </c>
      <c r="H3098" s="13">
        <v>-3850</v>
      </c>
      <c r="I3098" s="14">
        <f t="shared" si="112"/>
        <v>0.27195409999999998</v>
      </c>
      <c r="J3098" s="13">
        <f t="shared" si="113"/>
        <v>47721.649999999994</v>
      </c>
    </row>
    <row r="3099" spans="1:10" x14ac:dyDescent="0.25">
      <c r="A3099" s="10">
        <v>40498</v>
      </c>
      <c r="B3099" s="11" t="s">
        <v>8</v>
      </c>
      <c r="C3099" s="11" t="s">
        <v>5</v>
      </c>
      <c r="D3099" s="16" t="str">
        <f>HYPERLINK("https://freddywills.com/pick/4692/ohio-8-5.html", "Ohio +8.5")</f>
        <v>Ohio +8.5</v>
      </c>
      <c r="E3099" s="11">
        <v>4</v>
      </c>
      <c r="F3099" s="11">
        <v>-1.1000000000000001</v>
      </c>
      <c r="G3099" s="11" t="s">
        <v>4</v>
      </c>
      <c r="H3099" s="13">
        <v>3636.36</v>
      </c>
      <c r="I3099" s="14">
        <f t="shared" si="112"/>
        <v>0.31045409999999996</v>
      </c>
      <c r="J3099" s="13">
        <f t="shared" si="113"/>
        <v>51571.649999999994</v>
      </c>
    </row>
    <row r="3100" spans="1:10" x14ac:dyDescent="0.25">
      <c r="A3100" s="10">
        <v>40497</v>
      </c>
      <c r="B3100" s="11" t="s">
        <v>2</v>
      </c>
      <c r="C3100" s="11" t="s">
        <v>5</v>
      </c>
      <c r="D3100" s="16" t="str">
        <f>HYPERLINK("https://freddywills.com/pick/4694/skins-3-5.html", "Skins +3.5")</f>
        <v>Skins +3.5</v>
      </c>
      <c r="E3100" s="11">
        <v>4.4000000000000004</v>
      </c>
      <c r="F3100" s="11">
        <v>-1.1000000000000001</v>
      </c>
      <c r="G3100" s="11" t="s">
        <v>6</v>
      </c>
      <c r="H3100" s="13">
        <v>-4400</v>
      </c>
      <c r="I3100" s="14">
        <f t="shared" si="112"/>
        <v>0.27409049999999996</v>
      </c>
      <c r="J3100" s="13">
        <f t="shared" si="113"/>
        <v>47935.289999999994</v>
      </c>
    </row>
    <row r="3101" spans="1:10" x14ac:dyDescent="0.25">
      <c r="A3101" s="10">
        <v>40496</v>
      </c>
      <c r="B3101" s="11" t="s">
        <v>2</v>
      </c>
      <c r="C3101" s="11" t="s">
        <v>5</v>
      </c>
      <c r="D3101" s="16" t="str">
        <f>HYPERLINK("https://freddywills.com/pick/4696/vikings-pk.html", "Vikings pk")</f>
        <v>Vikings pk</v>
      </c>
      <c r="E3101" s="11">
        <v>3.3</v>
      </c>
      <c r="F3101" s="11">
        <v>-1.1000000000000001</v>
      </c>
      <c r="G3101" s="11" t="s">
        <v>6</v>
      </c>
      <c r="H3101" s="13">
        <v>-3300</v>
      </c>
      <c r="I3101" s="14">
        <f t="shared" si="112"/>
        <v>0.31809049999999994</v>
      </c>
      <c r="J3101" s="13">
        <f t="shared" si="113"/>
        <v>52335.289999999994</v>
      </c>
    </row>
    <row r="3102" spans="1:10" x14ac:dyDescent="0.25">
      <c r="A3102" s="10">
        <v>40496</v>
      </c>
      <c r="B3102" s="11" t="s">
        <v>2</v>
      </c>
      <c r="C3102" s="11" t="s">
        <v>5</v>
      </c>
      <c r="D3102" s="16" t="str">
        <f>HYPERLINK("https://freddywills.com/pick/4697/broncos-1.html", "Broncos +1")</f>
        <v>Broncos +1</v>
      </c>
      <c r="E3102" s="11">
        <v>4.4000000000000004</v>
      </c>
      <c r="F3102" s="11">
        <v>-1.1000000000000001</v>
      </c>
      <c r="G3102" s="11" t="s">
        <v>4</v>
      </c>
      <c r="H3102" s="13">
        <v>4000</v>
      </c>
      <c r="I3102" s="14">
        <f t="shared" si="112"/>
        <v>0.35109049999999997</v>
      </c>
      <c r="J3102" s="13">
        <f t="shared" si="113"/>
        <v>55635.289999999994</v>
      </c>
    </row>
    <row r="3103" spans="1:10" x14ac:dyDescent="0.25">
      <c r="A3103" s="10">
        <v>40496</v>
      </c>
      <c r="B3103" s="11" t="s">
        <v>2</v>
      </c>
      <c r="C3103" s="11" t="s">
        <v>5</v>
      </c>
      <c r="D3103" s="16" t="str">
        <f>HYPERLINK("https://freddywills.com/pick/4698/cowboys-14-120.html", "Cowboys +14 -120")</f>
        <v>Cowboys +14 -120</v>
      </c>
      <c r="E3103" s="11">
        <v>5</v>
      </c>
      <c r="F3103" s="11">
        <v>-1.2</v>
      </c>
      <c r="G3103" s="11" t="s">
        <v>4</v>
      </c>
      <c r="H3103" s="13">
        <v>4166.67</v>
      </c>
      <c r="I3103" s="14">
        <f t="shared" si="112"/>
        <v>0.31109049999999999</v>
      </c>
      <c r="J3103" s="13">
        <f t="shared" si="113"/>
        <v>51635.289999999994</v>
      </c>
    </row>
    <row r="3104" spans="1:10" x14ac:dyDescent="0.25">
      <c r="A3104" s="10">
        <v>40496</v>
      </c>
      <c r="B3104" s="11" t="s">
        <v>2</v>
      </c>
      <c r="C3104" s="11" t="s">
        <v>5</v>
      </c>
      <c r="D3104" s="16" t="str">
        <f>HYPERLINK("https://freddywills.com/pick/4699/rams-5-5.html", "Rams +5.5")</f>
        <v>Rams +5.5</v>
      </c>
      <c r="E3104" s="11">
        <v>3.3</v>
      </c>
      <c r="F3104" s="11">
        <v>-1.1000000000000001</v>
      </c>
      <c r="G3104" s="11" t="s">
        <v>4</v>
      </c>
      <c r="H3104" s="13">
        <v>3000</v>
      </c>
      <c r="I3104" s="14">
        <f t="shared" si="112"/>
        <v>0.26942379999999999</v>
      </c>
      <c r="J3104" s="13">
        <f t="shared" si="113"/>
        <v>47468.619999999995</v>
      </c>
    </row>
    <row r="3105" spans="1:10" x14ac:dyDescent="0.25">
      <c r="A3105" s="10">
        <v>40495</v>
      </c>
      <c r="B3105" s="11" t="s">
        <v>8</v>
      </c>
      <c r="C3105" s="11" t="s">
        <v>5</v>
      </c>
      <c r="D3105" s="16" t="str">
        <f>HYPERLINK("https://freddywills.com/pick/4700/northwestern-10.html", "Northwestern +10")</f>
        <v>Northwestern +10</v>
      </c>
      <c r="E3105" s="11">
        <v>3.3</v>
      </c>
      <c r="F3105" s="11">
        <v>-1.1000000000000001</v>
      </c>
      <c r="G3105" s="11" t="s">
        <v>4</v>
      </c>
      <c r="H3105" s="13">
        <v>3000</v>
      </c>
      <c r="I3105" s="14">
        <f t="shared" si="112"/>
        <v>0.23942379999999996</v>
      </c>
      <c r="J3105" s="13">
        <f t="shared" si="113"/>
        <v>44468.619999999995</v>
      </c>
    </row>
    <row r="3106" spans="1:10" x14ac:dyDescent="0.25">
      <c r="A3106" s="10">
        <v>40495</v>
      </c>
      <c r="B3106" s="11" t="s">
        <v>8</v>
      </c>
      <c r="C3106" s="11" t="s">
        <v>5</v>
      </c>
      <c r="D3106" s="16" t="str">
        <f>HYPERLINK("https://freddywills.com/pick/4701/army-1.html", "Army +1")</f>
        <v>Army +1</v>
      </c>
      <c r="E3106" s="11">
        <v>3.3</v>
      </c>
      <c r="F3106" s="11">
        <v>-1.1000000000000001</v>
      </c>
      <c r="G3106" s="11" t="s">
        <v>4</v>
      </c>
      <c r="H3106" s="13">
        <v>3000</v>
      </c>
      <c r="I3106" s="14">
        <f t="shared" si="112"/>
        <v>0.20942379999999997</v>
      </c>
      <c r="J3106" s="13">
        <f t="shared" si="113"/>
        <v>41468.619999999995</v>
      </c>
    </row>
    <row r="3107" spans="1:10" x14ac:dyDescent="0.25">
      <c r="A3107" s="10">
        <v>40495</v>
      </c>
      <c r="B3107" s="11" t="s">
        <v>8</v>
      </c>
      <c r="C3107" s="11" t="s">
        <v>5</v>
      </c>
      <c r="D3107" s="16" t="str">
        <f>HYPERLINK("https://freddywills.com/pick/4702/georgia-7-5.html", "Georgia +7.5")</f>
        <v>Georgia +7.5</v>
      </c>
      <c r="E3107" s="11">
        <v>5</v>
      </c>
      <c r="F3107" s="11">
        <v>-1.1000000000000001</v>
      </c>
      <c r="G3107" s="11" t="s">
        <v>6</v>
      </c>
      <c r="H3107" s="13">
        <v>-5000</v>
      </c>
      <c r="I3107" s="14">
        <f t="shared" si="112"/>
        <v>0.17942379999999997</v>
      </c>
      <c r="J3107" s="13">
        <f t="shared" si="113"/>
        <v>38468.619999999995</v>
      </c>
    </row>
    <row r="3108" spans="1:10" x14ac:dyDescent="0.25">
      <c r="A3108" s="10">
        <v>40495</v>
      </c>
      <c r="B3108" s="11" t="s">
        <v>8</v>
      </c>
      <c r="C3108" s="11" t="s">
        <v>5</v>
      </c>
      <c r="D3108" s="16" t="str">
        <f>HYPERLINK("https://freddywills.com/pick/4703/arizona-st-5-5.html", "Arizona St +5.5")</f>
        <v>Arizona St +5.5</v>
      </c>
      <c r="E3108" s="11">
        <v>5.5</v>
      </c>
      <c r="F3108" s="11">
        <v>-1.1000000000000001</v>
      </c>
      <c r="G3108" s="11" t="s">
        <v>4</v>
      </c>
      <c r="H3108" s="13">
        <v>5000</v>
      </c>
      <c r="I3108" s="14">
        <f t="shared" si="112"/>
        <v>0.22942379999999996</v>
      </c>
      <c r="J3108" s="13">
        <f t="shared" si="113"/>
        <v>43468.619999999995</v>
      </c>
    </row>
    <row r="3109" spans="1:10" x14ac:dyDescent="0.25">
      <c r="A3109" s="10">
        <v>40495</v>
      </c>
      <c r="B3109" s="11" t="s">
        <v>8</v>
      </c>
      <c r="C3109" s="11" t="s">
        <v>18</v>
      </c>
      <c r="D3109" s="16" t="str">
        <f>HYPERLINK("https://freddywills.com/pick/4704/arizona-st-190.html", "Arizona St +190")</f>
        <v>Arizona St +190</v>
      </c>
      <c r="E3109" s="11">
        <v>1</v>
      </c>
      <c r="F3109" s="11">
        <v>1.9</v>
      </c>
      <c r="G3109" s="11" t="s">
        <v>6</v>
      </c>
      <c r="H3109" s="13">
        <v>-1000</v>
      </c>
      <c r="I3109" s="14">
        <f t="shared" si="112"/>
        <v>0.17942379999999997</v>
      </c>
      <c r="J3109" s="13">
        <f t="shared" si="113"/>
        <v>38468.619999999995</v>
      </c>
    </row>
    <row r="3110" spans="1:10" x14ac:dyDescent="0.25">
      <c r="A3110" s="10">
        <v>40495</v>
      </c>
      <c r="B3110" s="11" t="s">
        <v>8</v>
      </c>
      <c r="C3110" s="11" t="s">
        <v>5</v>
      </c>
      <c r="D3110" s="16" t="str">
        <f>HYPERLINK("https://freddywills.com/pick/4705/n-carolina-3-5.html", "N. Carolina +3.5")</f>
        <v>N. Carolina +3.5</v>
      </c>
      <c r="E3110" s="11">
        <v>4.4000000000000004</v>
      </c>
      <c r="F3110" s="11">
        <v>-1.1000000000000001</v>
      </c>
      <c r="G3110" s="11" t="s">
        <v>6</v>
      </c>
      <c r="H3110" s="13">
        <v>-4400</v>
      </c>
      <c r="I3110" s="14">
        <f t="shared" si="112"/>
        <v>0.18942379999999998</v>
      </c>
      <c r="J3110" s="13">
        <f t="shared" si="113"/>
        <v>39468.619999999995</v>
      </c>
    </row>
    <row r="3111" spans="1:10" x14ac:dyDescent="0.25">
      <c r="A3111" s="10">
        <v>40495</v>
      </c>
      <c r="B3111" s="11" t="s">
        <v>8</v>
      </c>
      <c r="C3111" s="11" t="s">
        <v>5</v>
      </c>
      <c r="D3111" s="16" t="str">
        <f>HYPERLINK("https://freddywills.com/pick/4706/ohio-st-18.html", "Ohio St -18")</f>
        <v>Ohio St -18</v>
      </c>
      <c r="E3111" s="11">
        <v>2.2000000000000002</v>
      </c>
      <c r="F3111" s="11">
        <v>-1.1000000000000001</v>
      </c>
      <c r="G3111" s="11" t="s">
        <v>4</v>
      </c>
      <c r="H3111" s="13">
        <v>2000</v>
      </c>
      <c r="I3111" s="14">
        <f t="shared" ref="I3111:I3174" si="114">H3111/100000+I3112</f>
        <v>0.23342379999999996</v>
      </c>
      <c r="J3111" s="13">
        <f t="shared" ref="J3111:J3174" si="115">H3111+J3112</f>
        <v>43868.619999999995</v>
      </c>
    </row>
    <row r="3112" spans="1:10" x14ac:dyDescent="0.25">
      <c r="A3112" s="10">
        <v>40495</v>
      </c>
      <c r="B3112" s="11" t="s">
        <v>8</v>
      </c>
      <c r="C3112" s="11" t="s">
        <v>5</v>
      </c>
      <c r="D3112" s="16" t="str">
        <f>HYPERLINK("https://freddywills.com/pick/4707/fresno-8-5.html", "Fresno +8.5")</f>
        <v>Fresno +8.5</v>
      </c>
      <c r="E3112" s="11">
        <v>3.3</v>
      </c>
      <c r="F3112" s="11">
        <v>-1.1000000000000001</v>
      </c>
      <c r="G3112" s="11" t="s">
        <v>4</v>
      </c>
      <c r="H3112" s="13">
        <v>3000</v>
      </c>
      <c r="I3112" s="14">
        <f t="shared" si="114"/>
        <v>0.21342379999999997</v>
      </c>
      <c r="J3112" s="13">
        <f t="shared" si="115"/>
        <v>41868.619999999995</v>
      </c>
    </row>
    <row r="3113" spans="1:10" x14ac:dyDescent="0.25">
      <c r="A3113" s="10">
        <v>40494</v>
      </c>
      <c r="B3113" s="11" t="s">
        <v>8</v>
      </c>
      <c r="C3113" s="11" t="s">
        <v>5</v>
      </c>
      <c r="D3113" s="16" t="str">
        <f>HYPERLINK("https://freddywills.com/pick/4708/buff-2-5.html", "Buff -2.5")</f>
        <v>Buff -2.5</v>
      </c>
      <c r="E3113" s="11">
        <v>4</v>
      </c>
      <c r="F3113" s="11">
        <v>-1.1000000000000001</v>
      </c>
      <c r="G3113" s="11" t="s">
        <v>6</v>
      </c>
      <c r="H3113" s="13">
        <v>-4000</v>
      </c>
      <c r="I3113" s="14">
        <f t="shared" si="114"/>
        <v>0.18342379999999997</v>
      </c>
      <c r="J3113" s="13">
        <f t="shared" si="115"/>
        <v>38868.619999999995</v>
      </c>
    </row>
    <row r="3114" spans="1:10" x14ac:dyDescent="0.25">
      <c r="A3114" s="10">
        <v>40493</v>
      </c>
      <c r="B3114" s="11" t="s">
        <v>8</v>
      </c>
      <c r="C3114" s="11" t="s">
        <v>7</v>
      </c>
      <c r="D3114" s="16" t="str">
        <f>HYPERLINK("https://freddywills.com/pick/4710/ct-pit-u46-5.html", "CT/PIT U46.5")</f>
        <v>CT/PIT U46.5</v>
      </c>
      <c r="E3114" s="11">
        <v>3.3</v>
      </c>
      <c r="F3114" s="11">
        <v>-1.1000000000000001</v>
      </c>
      <c r="G3114" s="11" t="s">
        <v>6</v>
      </c>
      <c r="H3114" s="13">
        <v>-3300</v>
      </c>
      <c r="I3114" s="14">
        <f t="shared" si="114"/>
        <v>0.22342379999999998</v>
      </c>
      <c r="J3114" s="13">
        <f t="shared" si="115"/>
        <v>42868.619999999995</v>
      </c>
    </row>
    <row r="3115" spans="1:10" x14ac:dyDescent="0.25">
      <c r="A3115" s="10">
        <v>40493</v>
      </c>
      <c r="B3115" s="11" t="s">
        <v>8</v>
      </c>
      <c r="C3115" s="11" t="s">
        <v>5</v>
      </c>
      <c r="D3115" s="16" t="str">
        <f>HYPERLINK("https://freddywills.com/pick/4711/uab-2.html", "UAB -2")</f>
        <v>UAB -2</v>
      </c>
      <c r="E3115" s="11">
        <v>4.4000000000000004</v>
      </c>
      <c r="F3115" s="11">
        <v>-1.1000000000000001</v>
      </c>
      <c r="G3115" s="11" t="s">
        <v>6</v>
      </c>
      <c r="H3115" s="13">
        <v>-4400</v>
      </c>
      <c r="I3115" s="14">
        <f t="shared" si="114"/>
        <v>0.25642379999999998</v>
      </c>
      <c r="J3115" s="13">
        <f t="shared" si="115"/>
        <v>46168.619999999995</v>
      </c>
    </row>
    <row r="3116" spans="1:10" x14ac:dyDescent="0.25">
      <c r="A3116" s="10">
        <v>40493</v>
      </c>
      <c r="B3116" s="11" t="s">
        <v>2</v>
      </c>
      <c r="C3116" s="11" t="s">
        <v>5</v>
      </c>
      <c r="D3116" s="16" t="str">
        <f>HYPERLINK("https://freddywills.com/pick/4712/falcons-1.html", "Falcons -1")</f>
        <v>Falcons -1</v>
      </c>
      <c r="E3116" s="11">
        <v>4.4000000000000004</v>
      </c>
      <c r="F3116" s="11">
        <v>-1.1000000000000001</v>
      </c>
      <c r="G3116" s="11" t="s">
        <v>4</v>
      </c>
      <c r="H3116" s="13">
        <v>4000</v>
      </c>
      <c r="I3116" s="14">
        <f t="shared" si="114"/>
        <v>0.30042379999999996</v>
      </c>
      <c r="J3116" s="13">
        <f t="shared" si="115"/>
        <v>50568.619999999995</v>
      </c>
    </row>
    <row r="3117" spans="1:10" x14ac:dyDescent="0.25">
      <c r="A3117" s="10">
        <v>40492</v>
      </c>
      <c r="B3117" s="11" t="s">
        <v>8</v>
      </c>
      <c r="C3117" s="11" t="s">
        <v>5</v>
      </c>
      <c r="D3117" s="16" t="str">
        <f>HYPERLINK("https://freddywills.com/pick/4714/bgreen-3.html", "Bgreen +3")</f>
        <v>Bgreen +3</v>
      </c>
      <c r="E3117" s="11">
        <v>4</v>
      </c>
      <c r="F3117" s="11">
        <v>-1.1000000000000001</v>
      </c>
      <c r="G3117" s="11" t="s">
        <v>9</v>
      </c>
      <c r="H3117" s="13">
        <v>0</v>
      </c>
      <c r="I3117" s="14">
        <f t="shared" si="114"/>
        <v>0.26042379999999998</v>
      </c>
      <c r="J3117" s="13">
        <f t="shared" si="115"/>
        <v>46568.619999999995</v>
      </c>
    </row>
    <row r="3118" spans="1:10" x14ac:dyDescent="0.25">
      <c r="A3118" s="10">
        <v>40491</v>
      </c>
      <c r="B3118" s="11" t="s">
        <v>8</v>
      </c>
      <c r="C3118" s="11" t="s">
        <v>5</v>
      </c>
      <c r="D3118" s="16" t="str">
        <f>HYPERLINK("https://freddywills.com/pick/4715/toledo-11-5.html", "Toledo +11.5")</f>
        <v>Toledo +11.5</v>
      </c>
      <c r="E3118" s="11">
        <v>4.4000000000000004</v>
      </c>
      <c r="F3118" s="11">
        <v>-1.1000000000000001</v>
      </c>
      <c r="G3118" s="11" t="s">
        <v>6</v>
      </c>
      <c r="H3118" s="13">
        <v>-4400</v>
      </c>
      <c r="I3118" s="14">
        <f t="shared" si="114"/>
        <v>0.26042379999999998</v>
      </c>
      <c r="J3118" s="13">
        <f t="shared" si="115"/>
        <v>46568.619999999995</v>
      </c>
    </row>
    <row r="3119" spans="1:10" x14ac:dyDescent="0.25">
      <c r="A3119" s="10">
        <v>40490</v>
      </c>
      <c r="B3119" s="11" t="s">
        <v>2</v>
      </c>
      <c r="C3119" s="11" t="s">
        <v>5</v>
      </c>
      <c r="D3119" s="16" t="str">
        <f>HYPERLINK("https://freddywills.com/pick/4718/bengals-6.html", "Bengals +6")</f>
        <v>Bengals +6</v>
      </c>
      <c r="E3119" s="11">
        <v>4.4000000000000004</v>
      </c>
      <c r="F3119" s="11">
        <v>-1.1000000000000001</v>
      </c>
      <c r="G3119" s="11" t="s">
        <v>9</v>
      </c>
      <c r="H3119" s="13">
        <v>0</v>
      </c>
      <c r="I3119" s="14">
        <f t="shared" si="114"/>
        <v>0.30442379999999997</v>
      </c>
      <c r="J3119" s="13">
        <f t="shared" si="115"/>
        <v>50968.619999999995</v>
      </c>
    </row>
    <row r="3120" spans="1:10" x14ac:dyDescent="0.25">
      <c r="A3120" s="10">
        <v>40489</v>
      </c>
      <c r="B3120" s="11" t="s">
        <v>2</v>
      </c>
      <c r="C3120" s="11" t="s">
        <v>5</v>
      </c>
      <c r="D3120" s="16" t="str">
        <f>HYPERLINK("https://freddywills.com/pick/4719/raiders-ok.html", "Raiders ok")</f>
        <v>Raiders ok</v>
      </c>
      <c r="E3120" s="11">
        <v>5.5</v>
      </c>
      <c r="F3120" s="11">
        <v>-1.1000000000000001</v>
      </c>
      <c r="G3120" s="11" t="s">
        <v>4</v>
      </c>
      <c r="H3120" s="13">
        <v>5000</v>
      </c>
      <c r="I3120" s="14">
        <f t="shared" si="114"/>
        <v>0.30442379999999997</v>
      </c>
      <c r="J3120" s="13">
        <f t="shared" si="115"/>
        <v>50968.619999999995</v>
      </c>
    </row>
    <row r="3121" spans="1:10" x14ac:dyDescent="0.25">
      <c r="A3121" s="10">
        <v>40489</v>
      </c>
      <c r="B3121" s="11" t="s">
        <v>2</v>
      </c>
      <c r="C3121" s="11" t="s">
        <v>18</v>
      </c>
      <c r="D3121" s="16" t="str">
        <f>HYPERLINK("https://freddywills.com/pick/4720/browns-4.html", "Browns +4")</f>
        <v>Browns +4</v>
      </c>
      <c r="E3121" s="11">
        <v>4.4000000000000004</v>
      </c>
      <c r="F3121" s="11">
        <v>-1.1000000000000001</v>
      </c>
      <c r="G3121" s="11" t="s">
        <v>4</v>
      </c>
      <c r="H3121" s="13">
        <v>4000</v>
      </c>
      <c r="I3121" s="14">
        <f t="shared" si="114"/>
        <v>0.25442379999999998</v>
      </c>
      <c r="J3121" s="13">
        <f t="shared" si="115"/>
        <v>45968.619999999995</v>
      </c>
    </row>
    <row r="3122" spans="1:10" x14ac:dyDescent="0.25">
      <c r="A3122" s="10">
        <v>40489</v>
      </c>
      <c r="B3122" s="11" t="s">
        <v>2</v>
      </c>
      <c r="C3122" s="11" t="s">
        <v>5</v>
      </c>
      <c r="D3122" s="16" t="str">
        <f>HYPERLINK("https://freddywills.com/pick/4721/falcons-4-2h.html", "Falcons -4 2h")</f>
        <v>Falcons -4 2h</v>
      </c>
      <c r="E3122" s="11">
        <v>2.5</v>
      </c>
      <c r="F3122" s="11">
        <v>-1.1000000000000001</v>
      </c>
      <c r="G3122" s="11" t="s">
        <v>6</v>
      </c>
      <c r="H3122" s="13">
        <v>-2500</v>
      </c>
      <c r="I3122" s="14">
        <f t="shared" si="114"/>
        <v>0.2144238</v>
      </c>
      <c r="J3122" s="13">
        <f t="shared" si="115"/>
        <v>41968.619999999995</v>
      </c>
    </row>
    <row r="3123" spans="1:10" x14ac:dyDescent="0.25">
      <c r="A3123" s="10">
        <v>40489</v>
      </c>
      <c r="B3123" s="11" t="s">
        <v>2</v>
      </c>
      <c r="C3123" s="11" t="s">
        <v>18</v>
      </c>
      <c r="D3123" s="16" t="str">
        <f>HYPERLINK("https://freddywills.com/pick/4722/colts-155.html", "Colts +155")</f>
        <v>Colts +155</v>
      </c>
      <c r="E3123" s="11">
        <v>3</v>
      </c>
      <c r="F3123" s="11">
        <v>1.55</v>
      </c>
      <c r="G3123" s="11" t="s">
        <v>6</v>
      </c>
      <c r="H3123" s="13">
        <v>-3000</v>
      </c>
      <c r="I3123" s="14">
        <f t="shared" si="114"/>
        <v>0.23942379999999999</v>
      </c>
      <c r="J3123" s="13">
        <f t="shared" si="115"/>
        <v>44468.619999999995</v>
      </c>
    </row>
    <row r="3124" spans="1:10" x14ac:dyDescent="0.25">
      <c r="A3124" s="10">
        <v>40488</v>
      </c>
      <c r="B3124" s="11" t="s">
        <v>8</v>
      </c>
      <c r="C3124" s="11" t="s">
        <v>5</v>
      </c>
      <c r="D3124" s="16" t="str">
        <f>HYPERLINK("https://freddywills.com/pick/4723/temple-3.html", "Temple -3")</f>
        <v>Temple -3</v>
      </c>
      <c r="E3124" s="11">
        <v>2.2000000000000002</v>
      </c>
      <c r="F3124" s="11">
        <v>-1.1000000000000001</v>
      </c>
      <c r="G3124" s="11" t="s">
        <v>4</v>
      </c>
      <c r="H3124" s="13">
        <v>2000</v>
      </c>
      <c r="I3124" s="14">
        <f t="shared" si="114"/>
        <v>0.26942379999999999</v>
      </c>
      <c r="J3124" s="13">
        <f t="shared" si="115"/>
        <v>47468.619999999995</v>
      </c>
    </row>
    <row r="3125" spans="1:10" x14ac:dyDescent="0.25">
      <c r="A3125" s="10">
        <v>40488</v>
      </c>
      <c r="B3125" s="11" t="s">
        <v>8</v>
      </c>
      <c r="C3125" s="11" t="s">
        <v>5</v>
      </c>
      <c r="D3125" s="16" t="str">
        <f>HYPERLINK("https://freddywills.com/pick/4724/rice-17.html", "Rice +17")</f>
        <v>Rice +17</v>
      </c>
      <c r="E3125" s="11">
        <v>3.3</v>
      </c>
      <c r="F3125" s="11">
        <v>-1.1000000000000001</v>
      </c>
      <c r="G3125" s="11" t="s">
        <v>6</v>
      </c>
      <c r="H3125" s="13">
        <v>-3300</v>
      </c>
      <c r="I3125" s="14">
        <f t="shared" si="114"/>
        <v>0.2494238</v>
      </c>
      <c r="J3125" s="13">
        <f t="shared" si="115"/>
        <v>45468.619999999995</v>
      </c>
    </row>
    <row r="3126" spans="1:10" x14ac:dyDescent="0.25">
      <c r="A3126" s="10">
        <v>40488</v>
      </c>
      <c r="B3126" s="11" t="s">
        <v>8</v>
      </c>
      <c r="C3126" s="11" t="s">
        <v>5</v>
      </c>
      <c r="D3126" s="16" t="str">
        <f>HYPERLINK("https://freddywills.com/pick/4725/clemson-3.html", "Clemson -3")</f>
        <v>Clemson -3</v>
      </c>
      <c r="E3126" s="11">
        <v>4</v>
      </c>
      <c r="F3126" s="11">
        <v>-1.1000000000000001</v>
      </c>
      <c r="G3126" s="11" t="s">
        <v>6</v>
      </c>
      <c r="H3126" s="13">
        <v>-4000</v>
      </c>
      <c r="I3126" s="14">
        <f t="shared" si="114"/>
        <v>0.2824238</v>
      </c>
      <c r="J3126" s="13">
        <f t="shared" si="115"/>
        <v>48768.619999999995</v>
      </c>
    </row>
    <row r="3127" spans="1:10" x14ac:dyDescent="0.25">
      <c r="A3127" s="10">
        <v>40488</v>
      </c>
      <c r="B3127" s="11" t="s">
        <v>8</v>
      </c>
      <c r="C3127" s="11" t="s">
        <v>5</v>
      </c>
      <c r="D3127" s="16" t="str">
        <f>HYPERLINK("https://freddywills.com/pick/4726/penn-st-6.html", "Penn St -6")</f>
        <v>Penn St -6</v>
      </c>
      <c r="E3127" s="11">
        <v>4</v>
      </c>
      <c r="F3127" s="11">
        <v>-1.1000000000000001</v>
      </c>
      <c r="G3127" s="11" t="s">
        <v>4</v>
      </c>
      <c r="H3127" s="13">
        <v>3636.36</v>
      </c>
      <c r="I3127" s="14">
        <f t="shared" si="114"/>
        <v>0.32242379999999998</v>
      </c>
      <c r="J3127" s="13">
        <f t="shared" si="115"/>
        <v>52768.619999999995</v>
      </c>
    </row>
    <row r="3128" spans="1:10" x14ac:dyDescent="0.25">
      <c r="A3128" s="10">
        <v>40488</v>
      </c>
      <c r="B3128" s="11" t="s">
        <v>8</v>
      </c>
      <c r="C3128" s="11" t="s">
        <v>5</v>
      </c>
      <c r="D3128" s="16" t="str">
        <f>HYPERLINK("https://freddywills.com/pick/4727/unc-10-5.html", "Unc +10.5")</f>
        <v>Unc +10.5</v>
      </c>
      <c r="E3128" s="11">
        <v>4</v>
      </c>
      <c r="F3128" s="11">
        <v>-1.1000000000000001</v>
      </c>
      <c r="G3128" s="11" t="s">
        <v>4</v>
      </c>
      <c r="H3128" s="13">
        <v>3636.36</v>
      </c>
      <c r="I3128" s="14">
        <f t="shared" si="114"/>
        <v>0.28606019999999999</v>
      </c>
      <c r="J3128" s="13">
        <f t="shared" si="115"/>
        <v>49132.259999999995</v>
      </c>
    </row>
    <row r="3129" spans="1:10" x14ac:dyDescent="0.25">
      <c r="A3129" s="10">
        <v>40488</v>
      </c>
      <c r="B3129" s="11" t="s">
        <v>8</v>
      </c>
      <c r="C3129" s="11" t="s">
        <v>5</v>
      </c>
      <c r="D3129" s="16" t="str">
        <f>HYPERLINK("https://freddywills.com/pick/4728/iowa-st-17-5.html", "Iowa St +17.5")</f>
        <v>Iowa St +17.5</v>
      </c>
      <c r="E3129" s="11">
        <v>2.2000000000000002</v>
      </c>
      <c r="F3129" s="11">
        <v>-1.1000000000000001</v>
      </c>
      <c r="G3129" s="11" t="s">
        <v>4</v>
      </c>
      <c r="H3129" s="13">
        <v>2000</v>
      </c>
      <c r="I3129" s="14">
        <f t="shared" si="114"/>
        <v>0.24969659999999996</v>
      </c>
      <c r="J3129" s="13">
        <f t="shared" si="115"/>
        <v>45495.899999999994</v>
      </c>
    </row>
    <row r="3130" spans="1:10" x14ac:dyDescent="0.25">
      <c r="A3130" s="10">
        <v>40488</v>
      </c>
      <c r="B3130" s="11" t="s">
        <v>8</v>
      </c>
      <c r="C3130" s="11" t="s">
        <v>5</v>
      </c>
      <c r="D3130" s="16" t="str">
        <f>HYPERLINK("https://freddywills.com/pick/4729/utah-5.html", "Utah +5")</f>
        <v>Utah +5</v>
      </c>
      <c r="E3130" s="11">
        <v>5.5</v>
      </c>
      <c r="F3130" s="11">
        <v>-1.1000000000000001</v>
      </c>
      <c r="G3130" s="11" t="s">
        <v>6</v>
      </c>
      <c r="H3130" s="13">
        <v>-5500</v>
      </c>
      <c r="I3130" s="14">
        <f t="shared" si="114"/>
        <v>0.22969659999999997</v>
      </c>
      <c r="J3130" s="13">
        <f t="shared" si="115"/>
        <v>43495.899999999994</v>
      </c>
    </row>
    <row r="3131" spans="1:10" x14ac:dyDescent="0.25">
      <c r="A3131" s="10">
        <v>40488</v>
      </c>
      <c r="B3131" s="11" t="s">
        <v>8</v>
      </c>
      <c r="C3131" s="11" t="s">
        <v>18</v>
      </c>
      <c r="D3131" s="16" t="str">
        <f>HYPERLINK("https://freddywills.com/pick/4730/utah-150.html", "Utah +150")</f>
        <v>Utah +150</v>
      </c>
      <c r="E3131" s="11">
        <v>1</v>
      </c>
      <c r="F3131" s="11">
        <v>1.5</v>
      </c>
      <c r="G3131" s="11" t="s">
        <v>6</v>
      </c>
      <c r="H3131" s="13">
        <v>-1000</v>
      </c>
      <c r="I3131" s="14">
        <f t="shared" si="114"/>
        <v>0.28469659999999997</v>
      </c>
      <c r="J3131" s="13">
        <f t="shared" si="115"/>
        <v>48995.899999999994</v>
      </c>
    </row>
    <row r="3132" spans="1:10" x14ac:dyDescent="0.25">
      <c r="A3132" s="10">
        <v>40488</v>
      </c>
      <c r="B3132" s="11" t="s">
        <v>8</v>
      </c>
      <c r="C3132" s="11" t="s">
        <v>5</v>
      </c>
      <c r="D3132" s="16" t="str">
        <f>HYPERLINK("https://freddywills.com/pick/4731/virginia-1.html", "Virginia -1")</f>
        <v>Virginia -1</v>
      </c>
      <c r="E3132" s="11">
        <v>5</v>
      </c>
      <c r="F3132" s="11">
        <v>-1.1000000000000001</v>
      </c>
      <c r="G3132" s="11" t="s">
        <v>6</v>
      </c>
      <c r="H3132" s="13">
        <v>-5000</v>
      </c>
      <c r="I3132" s="14">
        <f t="shared" si="114"/>
        <v>0.29469659999999998</v>
      </c>
      <c r="J3132" s="13">
        <f t="shared" si="115"/>
        <v>49995.899999999994</v>
      </c>
    </row>
    <row r="3133" spans="1:10" x14ac:dyDescent="0.25">
      <c r="A3133" s="10">
        <v>40488</v>
      </c>
      <c r="B3133" s="11" t="s">
        <v>8</v>
      </c>
      <c r="C3133" s="11" t="s">
        <v>5</v>
      </c>
      <c r="D3133" s="16" t="str">
        <f>HYPERLINK("https://freddywills.com/pick/4732/oklahoma-3.html", "Oklahoma -3")</f>
        <v>Oklahoma -3</v>
      </c>
      <c r="E3133" s="11">
        <v>4.4000000000000004</v>
      </c>
      <c r="F3133" s="11">
        <v>-1.1000000000000001</v>
      </c>
      <c r="G3133" s="11" t="s">
        <v>6</v>
      </c>
      <c r="H3133" s="13">
        <v>-4400</v>
      </c>
      <c r="I3133" s="14">
        <f t="shared" si="114"/>
        <v>0.34469659999999996</v>
      </c>
      <c r="J3133" s="13">
        <f t="shared" si="115"/>
        <v>54995.899999999994</v>
      </c>
    </row>
    <row r="3134" spans="1:10" x14ac:dyDescent="0.25">
      <c r="A3134" s="10">
        <v>40487</v>
      </c>
      <c r="B3134" s="11" t="s">
        <v>8</v>
      </c>
      <c r="C3134" s="11" t="s">
        <v>5</v>
      </c>
      <c r="D3134" s="16" t="str">
        <f>HYPERLINK("https://freddywills.com/pick/4733/houston-3.html", "Houston +3")</f>
        <v>Houston +3</v>
      </c>
      <c r="E3134" s="11">
        <v>3.5</v>
      </c>
      <c r="F3134" s="11">
        <v>-1.1000000000000001</v>
      </c>
      <c r="G3134" s="11" t="s">
        <v>6</v>
      </c>
      <c r="H3134" s="13">
        <v>-3500</v>
      </c>
      <c r="I3134" s="14">
        <f t="shared" si="114"/>
        <v>0.38869659999999995</v>
      </c>
      <c r="J3134" s="13">
        <f t="shared" si="115"/>
        <v>59395.899999999994</v>
      </c>
    </row>
    <row r="3135" spans="1:10" x14ac:dyDescent="0.25">
      <c r="A3135" s="10">
        <v>40487</v>
      </c>
      <c r="B3135" s="11" t="s">
        <v>8</v>
      </c>
      <c r="C3135" s="11" t="s">
        <v>5</v>
      </c>
      <c r="D3135" s="16" t="str">
        <f>HYPERLINK("https://freddywills.com/pick/4734/wmich-3-5-wow.html", "Wmich +3.5 wow!")</f>
        <v>Wmich +3.5 wow!</v>
      </c>
      <c r="E3135" s="11">
        <v>4.4000000000000004</v>
      </c>
      <c r="F3135" s="11">
        <v>-1.1000000000000001</v>
      </c>
      <c r="G3135" s="11" t="s">
        <v>6</v>
      </c>
      <c r="H3135" s="13">
        <v>-4400</v>
      </c>
      <c r="I3135" s="14">
        <f t="shared" si="114"/>
        <v>0.42369659999999992</v>
      </c>
      <c r="J3135" s="13">
        <f t="shared" si="115"/>
        <v>62895.899999999994</v>
      </c>
    </row>
    <row r="3136" spans="1:10" x14ac:dyDescent="0.25">
      <c r="A3136" s="10">
        <v>40487</v>
      </c>
      <c r="B3136" s="11" t="s">
        <v>8</v>
      </c>
      <c r="C3136" s="11" t="s">
        <v>18</v>
      </c>
      <c r="D3136" s="16" t="str">
        <f>HYPERLINK("https://freddywills.com/pick/4736/wmich-150.html", "Wmich +150")</f>
        <v>Wmich +150</v>
      </c>
      <c r="E3136" s="11">
        <v>2</v>
      </c>
      <c r="F3136" s="11">
        <v>1.5</v>
      </c>
      <c r="G3136" s="11" t="s">
        <v>6</v>
      </c>
      <c r="H3136" s="13">
        <v>-2000</v>
      </c>
      <c r="I3136" s="14">
        <f t="shared" si="114"/>
        <v>0.46769659999999991</v>
      </c>
      <c r="J3136" s="13">
        <f t="shared" si="115"/>
        <v>67295.899999999994</v>
      </c>
    </row>
    <row r="3137" spans="1:10" x14ac:dyDescent="0.25">
      <c r="A3137" s="10">
        <v>40486</v>
      </c>
      <c r="B3137" s="11" t="s">
        <v>8</v>
      </c>
      <c r="C3137" s="11" t="s">
        <v>5</v>
      </c>
      <c r="D3137" s="16" t="str">
        <f>HYPERLINK("https://freddywills.com/pick/4737/georgia-tech-13.html", "Georgia Tech +13")</f>
        <v>Georgia Tech +13</v>
      </c>
      <c r="E3137" s="11">
        <v>4.4000000000000004</v>
      </c>
      <c r="F3137" s="11">
        <v>-1.1000000000000001</v>
      </c>
      <c r="G3137" s="11" t="s">
        <v>4</v>
      </c>
      <c r="H3137" s="13">
        <v>4000</v>
      </c>
      <c r="I3137" s="14">
        <f t="shared" si="114"/>
        <v>0.48769659999999992</v>
      </c>
      <c r="J3137" s="13">
        <f t="shared" si="115"/>
        <v>69295.899999999994</v>
      </c>
    </row>
    <row r="3138" spans="1:10" x14ac:dyDescent="0.25">
      <c r="A3138" s="10">
        <v>40485</v>
      </c>
      <c r="B3138" s="11" t="s">
        <v>8</v>
      </c>
      <c r="C3138" s="11" t="s">
        <v>5</v>
      </c>
      <c r="D3138" s="16" t="str">
        <f>HYPERLINK("https://freddywills.com/pick/4739/rutgers-10-5.html", "Rutgers +10.5")</f>
        <v>Rutgers +10.5</v>
      </c>
      <c r="E3138" s="11">
        <v>4</v>
      </c>
      <c r="F3138" s="11">
        <v>-1.1000000000000001</v>
      </c>
      <c r="G3138" s="11" t="s">
        <v>4</v>
      </c>
      <c r="H3138" s="13">
        <v>3636.36</v>
      </c>
      <c r="I3138" s="14">
        <f t="shared" si="114"/>
        <v>0.44769659999999994</v>
      </c>
      <c r="J3138" s="13">
        <f t="shared" si="115"/>
        <v>65295.899999999994</v>
      </c>
    </row>
    <row r="3139" spans="1:10" x14ac:dyDescent="0.25">
      <c r="A3139" s="10">
        <v>40485</v>
      </c>
      <c r="B3139" s="11" t="s">
        <v>8</v>
      </c>
      <c r="C3139" s="11" t="s">
        <v>18</v>
      </c>
      <c r="D3139" s="16" t="str">
        <f>HYPERLINK("https://freddywills.com/pick/4740/rutgers-350.html", "Rutgers +350")</f>
        <v>Rutgers +350</v>
      </c>
      <c r="E3139" s="11">
        <v>1</v>
      </c>
      <c r="F3139" s="11">
        <v>3.5</v>
      </c>
      <c r="G3139" s="11" t="s">
        <v>6</v>
      </c>
      <c r="H3139" s="13">
        <v>-1000</v>
      </c>
      <c r="I3139" s="14">
        <f t="shared" si="114"/>
        <v>0.41133299999999995</v>
      </c>
      <c r="J3139" s="13">
        <f t="shared" si="115"/>
        <v>61659.539999999994</v>
      </c>
    </row>
    <row r="3140" spans="1:10" x14ac:dyDescent="0.25">
      <c r="A3140" s="10">
        <v>40484</v>
      </c>
      <c r="B3140" s="11" t="s">
        <v>8</v>
      </c>
      <c r="C3140" s="11" t="s">
        <v>5</v>
      </c>
      <c r="D3140" s="16" t="str">
        <f>HYPERLINK("https://freddywills.com/pick/4742/mtsu-1-5.html", "MTSU -1.5")</f>
        <v>MTSU -1.5</v>
      </c>
      <c r="E3140" s="11">
        <v>4.4000000000000004</v>
      </c>
      <c r="F3140" s="11">
        <v>-1.1000000000000001</v>
      </c>
      <c r="G3140" s="11" t="s">
        <v>6</v>
      </c>
      <c r="H3140" s="13">
        <v>-4400</v>
      </c>
      <c r="I3140" s="14">
        <f t="shared" si="114"/>
        <v>0.42133299999999996</v>
      </c>
      <c r="J3140" s="13">
        <f t="shared" si="115"/>
        <v>62659.539999999994</v>
      </c>
    </row>
    <row r="3141" spans="1:10" x14ac:dyDescent="0.25">
      <c r="A3141" s="10">
        <v>40483</v>
      </c>
      <c r="B3141" s="11" t="s">
        <v>2</v>
      </c>
      <c r="C3141" s="11" t="s">
        <v>5</v>
      </c>
      <c r="D3141" s="16" t="str">
        <f>HYPERLINK("https://freddywills.com/pick/4745/texans-6-120.html", "Texans +6 -120")</f>
        <v>Texans +6 -120</v>
      </c>
      <c r="E3141" s="11">
        <v>4.5</v>
      </c>
      <c r="F3141" s="11">
        <v>-1.2</v>
      </c>
      <c r="G3141" s="11" t="s">
        <v>6</v>
      </c>
      <c r="H3141" s="13">
        <v>-4500</v>
      </c>
      <c r="I3141" s="14">
        <f t="shared" si="114"/>
        <v>0.46533299999999994</v>
      </c>
      <c r="J3141" s="13">
        <f t="shared" si="115"/>
        <v>67059.539999999994</v>
      </c>
    </row>
    <row r="3142" spans="1:10" x14ac:dyDescent="0.25">
      <c r="A3142" s="10">
        <v>40483</v>
      </c>
      <c r="B3142" s="11" t="s">
        <v>2</v>
      </c>
      <c r="C3142" s="11" t="s">
        <v>10</v>
      </c>
      <c r="D3142" s="16" t="str">
        <f>HYPERLINK("https://freddywills.com/pick/4746/hou-13-over-44-5.html", "HOU +13 Over 44.5")</f>
        <v>HOU +13 Over 44.5</v>
      </c>
      <c r="E3142" s="11">
        <v>2.2000000000000002</v>
      </c>
      <c r="F3142" s="11">
        <v>-1.1000000000000001</v>
      </c>
      <c r="G3142" s="11" t="s">
        <v>6</v>
      </c>
      <c r="H3142" s="13">
        <v>-2200</v>
      </c>
      <c r="I3142" s="14">
        <f t="shared" si="114"/>
        <v>0.51033299999999993</v>
      </c>
      <c r="J3142" s="13">
        <f t="shared" si="115"/>
        <v>71559.539999999994</v>
      </c>
    </row>
    <row r="3143" spans="1:10" x14ac:dyDescent="0.25">
      <c r="A3143" s="10">
        <v>40482</v>
      </c>
      <c r="B3143" s="11" t="s">
        <v>2</v>
      </c>
      <c r="C3143" s="11" t="s">
        <v>5</v>
      </c>
      <c r="D3143" s="16" t="str">
        <f>HYPERLINK("https://freddywills.com/pick/4748/49ers-2.html", "49ers -2")</f>
        <v>49ers -2</v>
      </c>
      <c r="E3143" s="11">
        <v>4.4000000000000004</v>
      </c>
      <c r="F3143" s="11">
        <v>-1.1000000000000001</v>
      </c>
      <c r="G3143" s="11" t="s">
        <v>4</v>
      </c>
      <c r="H3143" s="13">
        <v>4000</v>
      </c>
      <c r="I3143" s="14">
        <f t="shared" si="114"/>
        <v>0.53233299999999995</v>
      </c>
      <c r="J3143" s="13">
        <f t="shared" si="115"/>
        <v>73759.539999999994</v>
      </c>
    </row>
    <row r="3144" spans="1:10" x14ac:dyDescent="0.25">
      <c r="A3144" s="10">
        <v>40482</v>
      </c>
      <c r="B3144" s="11" t="s">
        <v>2</v>
      </c>
      <c r="C3144" s="11" t="s">
        <v>5</v>
      </c>
      <c r="D3144" s="16" t="str">
        <f>HYPERLINK("https://freddywills.com/pick/4749/lions-2.html", "Lions -2")</f>
        <v>Lions -2</v>
      </c>
      <c r="E3144" s="11">
        <v>4</v>
      </c>
      <c r="F3144" s="11">
        <v>-1.1000000000000001</v>
      </c>
      <c r="G3144" s="11" t="s">
        <v>4</v>
      </c>
      <c r="H3144" s="13">
        <v>3636.36</v>
      </c>
      <c r="I3144" s="14">
        <f t="shared" si="114"/>
        <v>0.49233299999999997</v>
      </c>
      <c r="J3144" s="13">
        <f t="shared" si="115"/>
        <v>69759.539999999994</v>
      </c>
    </row>
    <row r="3145" spans="1:10" x14ac:dyDescent="0.25">
      <c r="A3145" s="10">
        <v>40482</v>
      </c>
      <c r="B3145" s="11" t="s">
        <v>2</v>
      </c>
      <c r="C3145" s="11" t="s">
        <v>5</v>
      </c>
      <c r="D3145" s="16" t="str">
        <f>HYPERLINK("https://freddywills.com/pick/4750/vikings-6.html", "Vikings +6")</f>
        <v>Vikings +6</v>
      </c>
      <c r="E3145" s="11">
        <v>3.3</v>
      </c>
      <c r="F3145" s="11">
        <v>-1.1000000000000001</v>
      </c>
      <c r="G3145" s="11" t="s">
        <v>6</v>
      </c>
      <c r="H3145" s="13">
        <v>-3300</v>
      </c>
      <c r="I3145" s="14">
        <f t="shared" si="114"/>
        <v>0.45596939999999997</v>
      </c>
      <c r="J3145" s="13">
        <f t="shared" si="115"/>
        <v>66123.179999999993</v>
      </c>
    </row>
    <row r="3146" spans="1:10" x14ac:dyDescent="0.25">
      <c r="A3146" s="10">
        <v>40482</v>
      </c>
      <c r="B3146" s="11" t="s">
        <v>2</v>
      </c>
      <c r="C3146" s="11" t="s">
        <v>5</v>
      </c>
      <c r="D3146" s="16" t="str">
        <f>HYPERLINK("https://freddywills.com/pick/4751/chargers-4-120.html", "Chargers -4 -120")</f>
        <v>Chargers -4 -120</v>
      </c>
      <c r="E3146" s="11">
        <v>4</v>
      </c>
      <c r="F3146" s="11">
        <v>-1.2</v>
      </c>
      <c r="G3146" s="11" t="s">
        <v>4</v>
      </c>
      <c r="H3146" s="13">
        <v>3333.33</v>
      </c>
      <c r="I3146" s="14">
        <f t="shared" si="114"/>
        <v>0.48896939999999994</v>
      </c>
      <c r="J3146" s="13">
        <f t="shared" si="115"/>
        <v>69423.179999999993</v>
      </c>
    </row>
    <row r="3147" spans="1:10" x14ac:dyDescent="0.25">
      <c r="A3147" s="10">
        <v>40482</v>
      </c>
      <c r="B3147" s="11" t="s">
        <v>2</v>
      </c>
      <c r="C3147" s="11" t="s">
        <v>5</v>
      </c>
      <c r="D3147" s="16" t="str">
        <f>HYPERLINK("https://freddywills.com/pick/4752/saints-pk.html", "Saints pk")</f>
        <v>Saints pk</v>
      </c>
      <c r="E3147" s="11">
        <v>3.5</v>
      </c>
      <c r="F3147" s="11">
        <v>-1.1000000000000001</v>
      </c>
      <c r="G3147" s="11" t="s">
        <v>4</v>
      </c>
      <c r="H3147" s="13">
        <v>3181.82</v>
      </c>
      <c r="I3147" s="14">
        <f t="shared" si="114"/>
        <v>0.45563609999999993</v>
      </c>
      <c r="J3147" s="13">
        <f t="shared" si="115"/>
        <v>66089.849999999991</v>
      </c>
    </row>
    <row r="3148" spans="1:10" x14ac:dyDescent="0.25">
      <c r="A3148" s="10">
        <v>40481</v>
      </c>
      <c r="B3148" s="11" t="s">
        <v>8</v>
      </c>
      <c r="C3148" s="11" t="s">
        <v>5</v>
      </c>
      <c r="D3148" s="16" t="str">
        <f>HYPERLINK("https://freddywills.com/pick/4753/indiana-3-5.html", "Indiana +3.5")</f>
        <v>Indiana +3.5</v>
      </c>
      <c r="E3148" s="11">
        <v>5.5</v>
      </c>
      <c r="F3148" s="11">
        <v>-1.1000000000000001</v>
      </c>
      <c r="G3148" s="11" t="s">
        <v>4</v>
      </c>
      <c r="H3148" s="13">
        <v>5000</v>
      </c>
      <c r="I3148" s="14">
        <f t="shared" si="114"/>
        <v>0.42381789999999991</v>
      </c>
      <c r="J3148" s="13">
        <f t="shared" si="115"/>
        <v>62908.029999999992</v>
      </c>
    </row>
    <row r="3149" spans="1:10" x14ac:dyDescent="0.25">
      <c r="A3149" s="10">
        <v>40481</v>
      </c>
      <c r="B3149" s="11" t="s">
        <v>8</v>
      </c>
      <c r="C3149" s="11" t="s">
        <v>18</v>
      </c>
      <c r="D3149" s="16" t="str">
        <f>HYPERLINK("https://freddywills.com/pick/4754/indiana-150.html", "Indiana +150")</f>
        <v>Indiana +150</v>
      </c>
      <c r="E3149" s="11">
        <v>1.5</v>
      </c>
      <c r="F3149" s="11">
        <v>1.5</v>
      </c>
      <c r="G3149" s="11" t="s">
        <v>6</v>
      </c>
      <c r="H3149" s="13">
        <v>-1500</v>
      </c>
      <c r="I3149" s="14">
        <f t="shared" si="114"/>
        <v>0.37381789999999993</v>
      </c>
      <c r="J3149" s="13">
        <f t="shared" si="115"/>
        <v>57908.029999999992</v>
      </c>
    </row>
    <row r="3150" spans="1:10" x14ac:dyDescent="0.25">
      <c r="A3150" s="10">
        <v>40481</v>
      </c>
      <c r="B3150" s="11" t="s">
        <v>8</v>
      </c>
      <c r="C3150" s="11" t="s">
        <v>5</v>
      </c>
      <c r="D3150" s="16" t="str">
        <f>HYPERLINK("https://freddywills.com/pick/4755/western-mich-7-5.html", "Western Mich +7.5")</f>
        <v>Western Mich +7.5</v>
      </c>
      <c r="E3150" s="11">
        <v>4</v>
      </c>
      <c r="F3150" s="11">
        <v>-1.1000000000000001</v>
      </c>
      <c r="G3150" s="11" t="s">
        <v>4</v>
      </c>
      <c r="H3150" s="13">
        <v>3636.36</v>
      </c>
      <c r="I3150" s="14">
        <f t="shared" si="114"/>
        <v>0.38881789999999994</v>
      </c>
      <c r="J3150" s="13">
        <f t="shared" si="115"/>
        <v>59408.029999999992</v>
      </c>
    </row>
    <row r="3151" spans="1:10" x14ac:dyDescent="0.25">
      <c r="A3151" s="10">
        <v>40481</v>
      </c>
      <c r="B3151" s="11" t="s">
        <v>8</v>
      </c>
      <c r="C3151" s="11" t="s">
        <v>5</v>
      </c>
      <c r="D3151" s="16" t="str">
        <f>HYPERLINK("https://freddywills.com/pick/4756/tulsa-8-5.html", "Tulsa +8.5")</f>
        <v>Tulsa +8.5</v>
      </c>
      <c r="E3151" s="11">
        <v>4</v>
      </c>
      <c r="F3151" s="11">
        <v>-1.1000000000000001</v>
      </c>
      <c r="G3151" s="11" t="s">
        <v>4</v>
      </c>
      <c r="H3151" s="13">
        <v>3636.36</v>
      </c>
      <c r="I3151" s="14">
        <f t="shared" si="114"/>
        <v>0.35245429999999994</v>
      </c>
      <c r="J3151" s="13">
        <f t="shared" si="115"/>
        <v>55771.669999999991</v>
      </c>
    </row>
    <row r="3152" spans="1:10" x14ac:dyDescent="0.25">
      <c r="A3152" s="10">
        <v>40481</v>
      </c>
      <c r="B3152" s="11" t="s">
        <v>8</v>
      </c>
      <c r="C3152" s="11" t="s">
        <v>5</v>
      </c>
      <c r="D3152" s="16" t="str">
        <f>HYPERLINK("https://freddywills.com/pick/4757/east-carolina-8.html", "East Carolina +8")</f>
        <v>East Carolina +8</v>
      </c>
      <c r="E3152" s="11">
        <v>3.5</v>
      </c>
      <c r="F3152" s="11">
        <v>-1.1000000000000001</v>
      </c>
      <c r="G3152" s="11" t="s">
        <v>6</v>
      </c>
      <c r="H3152" s="13">
        <v>-3500</v>
      </c>
      <c r="I3152" s="14">
        <f t="shared" si="114"/>
        <v>0.31609069999999995</v>
      </c>
      <c r="J3152" s="13">
        <f t="shared" si="115"/>
        <v>52135.30999999999</v>
      </c>
    </row>
    <row r="3153" spans="1:10" x14ac:dyDescent="0.25">
      <c r="A3153" s="10">
        <v>40481</v>
      </c>
      <c r="B3153" s="11" t="s">
        <v>8</v>
      </c>
      <c r="C3153" s="11" t="s">
        <v>5</v>
      </c>
      <c r="D3153" s="16" t="str">
        <f>HYPERLINK("https://freddywills.com/pick/4758/duke-14.html", "Duke +14")</f>
        <v>Duke +14</v>
      </c>
      <c r="E3153" s="11">
        <v>2</v>
      </c>
      <c r="F3153" s="11">
        <v>-1.1000000000000001</v>
      </c>
      <c r="G3153" s="11" t="s">
        <v>4</v>
      </c>
      <c r="H3153" s="13">
        <v>1818.18</v>
      </c>
      <c r="I3153" s="14">
        <f t="shared" si="114"/>
        <v>0.35109069999999998</v>
      </c>
      <c r="J3153" s="13">
        <f t="shared" si="115"/>
        <v>55635.30999999999</v>
      </c>
    </row>
    <row r="3154" spans="1:10" x14ac:dyDescent="0.25">
      <c r="A3154" s="10">
        <v>40481</v>
      </c>
      <c r="B3154" s="11" t="s">
        <v>8</v>
      </c>
      <c r="C3154" s="11" t="s">
        <v>18</v>
      </c>
      <c r="D3154" s="16" t="str">
        <f>HYPERLINK("https://freddywills.com/pick/4759/florida-105.html", "Florida +105")</f>
        <v>Florida +105</v>
      </c>
      <c r="E3154" s="11">
        <v>4</v>
      </c>
      <c r="F3154" s="11">
        <v>1.05</v>
      </c>
      <c r="G3154" s="11" t="s">
        <v>4</v>
      </c>
      <c r="H3154" s="13">
        <v>4200</v>
      </c>
      <c r="I3154" s="14">
        <f t="shared" si="114"/>
        <v>0.33290889999999995</v>
      </c>
      <c r="J3154" s="13">
        <f t="shared" si="115"/>
        <v>53817.12999999999</v>
      </c>
    </row>
    <row r="3155" spans="1:10" x14ac:dyDescent="0.25">
      <c r="A3155" s="10">
        <v>40481</v>
      </c>
      <c r="B3155" s="11" t="s">
        <v>8</v>
      </c>
      <c r="C3155" s="11" t="s">
        <v>5</v>
      </c>
      <c r="D3155" s="16" t="str">
        <f>HYPERLINK("https://freddywills.com/pick/4760/san-jose-3-115.html", "San Jose -3 -115")</f>
        <v>San Jose -3 -115</v>
      </c>
      <c r="E3155" s="11">
        <v>4.5</v>
      </c>
      <c r="F3155" s="11">
        <v>-1.1499999999999999</v>
      </c>
      <c r="G3155" s="11" t="s">
        <v>6</v>
      </c>
      <c r="H3155" s="13">
        <v>-4500</v>
      </c>
      <c r="I3155" s="14">
        <f t="shared" si="114"/>
        <v>0.29090889999999997</v>
      </c>
      <c r="J3155" s="13">
        <f t="shared" si="115"/>
        <v>49617.12999999999</v>
      </c>
    </row>
    <row r="3156" spans="1:10" x14ac:dyDescent="0.25">
      <c r="A3156" s="10">
        <v>40481</v>
      </c>
      <c r="B3156" s="11" t="s">
        <v>8</v>
      </c>
      <c r="C3156" s="11" t="s">
        <v>5</v>
      </c>
      <c r="D3156" s="16" t="str">
        <f>HYPERLINK("https://freddywills.com/pick/4761/air-force-7.html", "Air Force +7")</f>
        <v>Air Force +7</v>
      </c>
      <c r="E3156" s="11">
        <v>4.4000000000000004</v>
      </c>
      <c r="F3156" s="11">
        <v>-1.1000000000000001</v>
      </c>
      <c r="G3156" s="11" t="s">
        <v>4</v>
      </c>
      <c r="H3156" s="13">
        <v>4000</v>
      </c>
      <c r="I3156" s="14">
        <f t="shared" si="114"/>
        <v>0.33590889999999995</v>
      </c>
      <c r="J3156" s="13">
        <f t="shared" si="115"/>
        <v>54117.12999999999</v>
      </c>
    </row>
    <row r="3157" spans="1:10" x14ac:dyDescent="0.25">
      <c r="A3157" s="10">
        <v>40481</v>
      </c>
      <c r="B3157" s="11" t="s">
        <v>8</v>
      </c>
      <c r="C3157" s="11" t="s">
        <v>5</v>
      </c>
      <c r="D3157" s="16" t="str">
        <f>HYPERLINK("https://freddywills.com/pick/4762/usc-7.html", "USC +7")</f>
        <v>USC +7</v>
      </c>
      <c r="E3157" s="11">
        <v>5</v>
      </c>
      <c r="F3157" s="11">
        <v>-1.1000000000000001</v>
      </c>
      <c r="G3157" s="11" t="s">
        <v>6</v>
      </c>
      <c r="H3157" s="13">
        <v>-5000</v>
      </c>
      <c r="I3157" s="14">
        <f t="shared" si="114"/>
        <v>0.29590889999999997</v>
      </c>
      <c r="J3157" s="13">
        <f t="shared" si="115"/>
        <v>50117.12999999999</v>
      </c>
    </row>
    <row r="3158" spans="1:10" x14ac:dyDescent="0.25">
      <c r="A3158" s="10">
        <v>40480</v>
      </c>
      <c r="B3158" s="11" t="s">
        <v>8</v>
      </c>
      <c r="C3158" s="11" t="s">
        <v>7</v>
      </c>
      <c r="D3158" s="16" t="str">
        <f>HYPERLINK("https://freddywills.com/pick/4764/wv-ct-u45.html", "wv/ct u45")</f>
        <v>wv/ct u45</v>
      </c>
      <c r="E3158" s="11">
        <v>4</v>
      </c>
      <c r="F3158" s="11">
        <v>-1.1000000000000001</v>
      </c>
      <c r="G3158" s="11" t="s">
        <v>4</v>
      </c>
      <c r="H3158" s="13">
        <v>3636.36</v>
      </c>
      <c r="I3158" s="14">
        <f t="shared" si="114"/>
        <v>0.34590889999999996</v>
      </c>
      <c r="J3158" s="13">
        <f t="shared" si="115"/>
        <v>55117.12999999999</v>
      </c>
    </row>
    <row r="3159" spans="1:10" x14ac:dyDescent="0.25">
      <c r="A3159" s="10">
        <v>40479</v>
      </c>
      <c r="B3159" s="11" t="s">
        <v>8</v>
      </c>
      <c r="C3159" s="11" t="s">
        <v>5</v>
      </c>
      <c r="D3159" s="16" t="str">
        <f>HYPERLINK("https://freddywills.com/pick/4766/nc-state-4.html", "NC State +4")</f>
        <v>NC State +4</v>
      </c>
      <c r="E3159" s="11">
        <v>4.4000000000000004</v>
      </c>
      <c r="F3159" s="11">
        <v>-1.1000000000000001</v>
      </c>
      <c r="G3159" s="11" t="s">
        <v>4</v>
      </c>
      <c r="H3159" s="13">
        <v>4000</v>
      </c>
      <c r="I3159" s="14">
        <f t="shared" si="114"/>
        <v>0.30954529999999997</v>
      </c>
      <c r="J3159" s="13">
        <f t="shared" si="115"/>
        <v>51480.76999999999</v>
      </c>
    </row>
    <row r="3160" spans="1:10" x14ac:dyDescent="0.25">
      <c r="A3160" s="10">
        <v>40477</v>
      </c>
      <c r="B3160" s="11" t="s">
        <v>8</v>
      </c>
      <c r="C3160" s="11" t="s">
        <v>5</v>
      </c>
      <c r="D3160" s="16" t="str">
        <f>HYPERLINK("https://freddywills.com/pick/4770/la-tech-38.html", "LA Tech +38")</f>
        <v>LA Tech +38</v>
      </c>
      <c r="E3160" s="11">
        <v>4.4000000000000004</v>
      </c>
      <c r="F3160" s="11">
        <v>-1.1000000000000001</v>
      </c>
      <c r="G3160" s="11" t="s">
        <v>4</v>
      </c>
      <c r="H3160" s="13">
        <v>4000</v>
      </c>
      <c r="I3160" s="14">
        <f t="shared" si="114"/>
        <v>0.26954529999999999</v>
      </c>
      <c r="J3160" s="13">
        <f t="shared" si="115"/>
        <v>47480.76999999999</v>
      </c>
    </row>
    <row r="3161" spans="1:10" x14ac:dyDescent="0.25">
      <c r="A3161" s="10">
        <v>40476</v>
      </c>
      <c r="B3161" s="11" t="s">
        <v>2</v>
      </c>
      <c r="C3161" s="11" t="s">
        <v>5</v>
      </c>
      <c r="D3161" s="16" t="str">
        <f>HYPERLINK("https://freddywills.com/pick/4771/cowboys-3.html", "Cowboys -3")</f>
        <v>Cowboys -3</v>
      </c>
      <c r="E3161" s="11">
        <v>4.8</v>
      </c>
      <c r="F3161" s="11">
        <v>-1.1000000000000001</v>
      </c>
      <c r="G3161" s="11" t="s">
        <v>6</v>
      </c>
      <c r="H3161" s="13">
        <v>-4800</v>
      </c>
      <c r="I3161" s="14">
        <f t="shared" si="114"/>
        <v>0.22954530000000001</v>
      </c>
      <c r="J3161" s="13">
        <f t="shared" si="115"/>
        <v>43480.76999999999</v>
      </c>
    </row>
    <row r="3162" spans="1:10" x14ac:dyDescent="0.25">
      <c r="A3162" s="10">
        <v>40475</v>
      </c>
      <c r="B3162" s="11" t="s">
        <v>2</v>
      </c>
      <c r="C3162" s="11" t="s">
        <v>5</v>
      </c>
      <c r="D3162" s="16" t="str">
        <f>HYPERLINK("https://freddywills.com/pick/4772/steelers-3.html", "Steelers -3")</f>
        <v>Steelers -3</v>
      </c>
      <c r="E3162" s="11">
        <v>3.3</v>
      </c>
      <c r="F3162" s="11">
        <v>-1.1000000000000001</v>
      </c>
      <c r="G3162" s="11" t="s">
        <v>6</v>
      </c>
      <c r="H3162" s="13">
        <v>-3300</v>
      </c>
      <c r="I3162" s="14">
        <f t="shared" si="114"/>
        <v>0.27754529999999999</v>
      </c>
      <c r="J3162" s="13">
        <f t="shared" si="115"/>
        <v>48280.76999999999</v>
      </c>
    </row>
    <row r="3163" spans="1:10" x14ac:dyDescent="0.25">
      <c r="A3163" s="10">
        <v>40475</v>
      </c>
      <c r="B3163" s="11" t="s">
        <v>2</v>
      </c>
      <c r="C3163" s="11" t="s">
        <v>5</v>
      </c>
      <c r="D3163" s="16" t="str">
        <f>HYPERLINK("https://freddywills.com/pick/4773/bengals-3-5.html", "Bengals +3.5")</f>
        <v>Bengals +3.5</v>
      </c>
      <c r="E3163" s="11">
        <v>4.4000000000000004</v>
      </c>
      <c r="F3163" s="11">
        <v>-1.1000000000000001</v>
      </c>
      <c r="G3163" s="11" t="s">
        <v>6</v>
      </c>
      <c r="H3163" s="13">
        <v>-4400</v>
      </c>
      <c r="I3163" s="14">
        <f t="shared" si="114"/>
        <v>0.31054530000000002</v>
      </c>
      <c r="J3163" s="13">
        <f t="shared" si="115"/>
        <v>51580.76999999999</v>
      </c>
    </row>
    <row r="3164" spans="1:10" x14ac:dyDescent="0.25">
      <c r="A3164" s="10">
        <v>40475</v>
      </c>
      <c r="B3164" s="11" t="s">
        <v>2</v>
      </c>
      <c r="C3164" s="11" t="s">
        <v>5</v>
      </c>
      <c r="D3164" s="16" t="str">
        <f>HYPERLINK("https://freddywills.com/pick/4774/chargers-2-5.html", "Chargers -2.5")</f>
        <v>Chargers -2.5</v>
      </c>
      <c r="E3164" s="11">
        <v>4.4000000000000004</v>
      </c>
      <c r="F3164" s="11">
        <v>-1.1000000000000001</v>
      </c>
      <c r="G3164" s="11" t="s">
        <v>6</v>
      </c>
      <c r="H3164" s="13">
        <v>-4400</v>
      </c>
      <c r="I3164" s="14">
        <f t="shared" si="114"/>
        <v>0.35454530000000001</v>
      </c>
      <c r="J3164" s="13">
        <f t="shared" si="115"/>
        <v>55980.76999999999</v>
      </c>
    </row>
    <row r="3165" spans="1:10" x14ac:dyDescent="0.25">
      <c r="A3165" s="10">
        <v>40475</v>
      </c>
      <c r="B3165" s="11" t="s">
        <v>2</v>
      </c>
      <c r="C3165" s="11" t="s">
        <v>5</v>
      </c>
      <c r="D3165" s="16" t="str">
        <f>HYPERLINK("https://freddywills.com/pick/4775/redskins-3.html", "Redskins +3")</f>
        <v>Redskins +3</v>
      </c>
      <c r="E3165" s="11">
        <v>5.5</v>
      </c>
      <c r="F3165" s="11">
        <v>-1.1000000000000001</v>
      </c>
      <c r="G3165" s="11" t="s">
        <v>4</v>
      </c>
      <c r="H3165" s="13">
        <v>5000</v>
      </c>
      <c r="I3165" s="14">
        <f t="shared" si="114"/>
        <v>0.39854529999999999</v>
      </c>
      <c r="J3165" s="13">
        <f t="shared" si="115"/>
        <v>60380.76999999999</v>
      </c>
    </row>
    <row r="3166" spans="1:10" x14ac:dyDescent="0.25">
      <c r="A3166" s="10">
        <v>40475</v>
      </c>
      <c r="B3166" s="11" t="s">
        <v>2</v>
      </c>
      <c r="C3166" s="11" t="s">
        <v>5</v>
      </c>
      <c r="D3166" s="16" t="str">
        <f>HYPERLINK("https://freddywills.com/pick/4776/vikings-3.html", "Vikings +3")</f>
        <v>Vikings +3</v>
      </c>
      <c r="E3166" s="11">
        <v>4</v>
      </c>
      <c r="F3166" s="11">
        <v>-1.1000000000000001</v>
      </c>
      <c r="G3166" s="11" t="s">
        <v>6</v>
      </c>
      <c r="H3166" s="13">
        <v>-4000</v>
      </c>
      <c r="I3166" s="14">
        <f t="shared" si="114"/>
        <v>0.3485453</v>
      </c>
      <c r="J3166" s="13">
        <f t="shared" si="115"/>
        <v>55380.76999999999</v>
      </c>
    </row>
    <row r="3167" spans="1:10" x14ac:dyDescent="0.25">
      <c r="A3167" s="10">
        <v>40474</v>
      </c>
      <c r="B3167" s="11" t="s">
        <v>8</v>
      </c>
      <c r="C3167" s="11" t="s">
        <v>5</v>
      </c>
      <c r="D3167" s="16" t="str">
        <f>HYPERLINK("https://freddywills.com/pick/4777/lsu-3.html", "LSU +3")</f>
        <v>LSU +3</v>
      </c>
      <c r="E3167" s="11">
        <v>5.5</v>
      </c>
      <c r="F3167" s="11">
        <v>-1.1000000000000001</v>
      </c>
      <c r="G3167" s="11" t="s">
        <v>6</v>
      </c>
      <c r="H3167" s="13">
        <v>-5500</v>
      </c>
      <c r="I3167" s="14">
        <f t="shared" si="114"/>
        <v>0.38854529999999998</v>
      </c>
      <c r="J3167" s="13">
        <f t="shared" si="115"/>
        <v>59380.76999999999</v>
      </c>
    </row>
    <row r="3168" spans="1:10" x14ac:dyDescent="0.25">
      <c r="A3168" s="10">
        <v>40474</v>
      </c>
      <c r="B3168" s="11" t="s">
        <v>8</v>
      </c>
      <c r="C3168" s="11" t="s">
        <v>18</v>
      </c>
      <c r="D3168" s="16" t="str">
        <f>HYPERLINK("https://freddywills.com/pick/4778/lsu-195.html", "LSU +195")</f>
        <v>LSU +195</v>
      </c>
      <c r="E3168" s="11">
        <v>1</v>
      </c>
      <c r="F3168" s="11">
        <v>1.95</v>
      </c>
      <c r="G3168" s="11" t="s">
        <v>6</v>
      </c>
      <c r="H3168" s="13">
        <v>-1000</v>
      </c>
      <c r="I3168" s="14">
        <f t="shared" si="114"/>
        <v>0.44354529999999998</v>
      </c>
      <c r="J3168" s="13">
        <f t="shared" si="115"/>
        <v>64880.76999999999</v>
      </c>
    </row>
    <row r="3169" spans="1:10" x14ac:dyDescent="0.25">
      <c r="A3169" s="10">
        <v>40474</v>
      </c>
      <c r="B3169" s="11" t="s">
        <v>8</v>
      </c>
      <c r="C3169" s="11" t="s">
        <v>18</v>
      </c>
      <c r="D3169" s="16" t="str">
        <f>HYPERLINK("https://freddywills.com/pick/4779/marshall-13.html", "Marshall +13")</f>
        <v>Marshall +13</v>
      </c>
      <c r="E3169" s="11">
        <v>2.2000000000000002</v>
      </c>
      <c r="F3169" s="11">
        <v>-1.1000000000000001</v>
      </c>
      <c r="G3169" s="11" t="s">
        <v>6</v>
      </c>
      <c r="H3169" s="13">
        <v>-2200</v>
      </c>
      <c r="I3169" s="14">
        <f t="shared" si="114"/>
        <v>0.45354529999999998</v>
      </c>
      <c r="J3169" s="13">
        <f t="shared" si="115"/>
        <v>65880.76999999999</v>
      </c>
    </row>
    <row r="3170" spans="1:10" x14ac:dyDescent="0.25">
      <c r="A3170" s="10">
        <v>40474</v>
      </c>
      <c r="B3170" s="11" t="s">
        <v>8</v>
      </c>
      <c r="C3170" s="11" t="s">
        <v>5</v>
      </c>
      <c r="D3170" s="16" t="str">
        <f>HYPERLINK("https://freddywills.com/pick/4780/mia-oh-3.html", "Mia OH +3")</f>
        <v>Mia OH +3</v>
      </c>
      <c r="E3170" s="11">
        <v>2.2000000000000002</v>
      </c>
      <c r="F3170" s="11">
        <v>-1.1000000000000001</v>
      </c>
      <c r="G3170" s="11" t="s">
        <v>6</v>
      </c>
      <c r="H3170" s="13">
        <v>-2200</v>
      </c>
      <c r="I3170" s="14">
        <f t="shared" si="114"/>
        <v>0.4755453</v>
      </c>
      <c r="J3170" s="13">
        <f t="shared" si="115"/>
        <v>68080.76999999999</v>
      </c>
    </row>
    <row r="3171" spans="1:10" x14ac:dyDescent="0.25">
      <c r="A3171" s="10">
        <v>40474</v>
      </c>
      <c r="B3171" s="11" t="s">
        <v>8</v>
      </c>
      <c r="C3171" s="11" t="s">
        <v>5</v>
      </c>
      <c r="D3171" s="16" t="str">
        <f>HYPERLINK("https://freddywills.com/pick/4781/nwest-6-120.html", "Nwest +6 -120")</f>
        <v>Nwest +6 -120</v>
      </c>
      <c r="E3171" s="11">
        <v>4</v>
      </c>
      <c r="F3171" s="11">
        <v>-1.2</v>
      </c>
      <c r="G3171" s="11" t="s">
        <v>6</v>
      </c>
      <c r="H3171" s="13">
        <v>-4000</v>
      </c>
      <c r="I3171" s="14">
        <f t="shared" si="114"/>
        <v>0.49754530000000002</v>
      </c>
      <c r="J3171" s="13">
        <f t="shared" si="115"/>
        <v>70280.76999999999</v>
      </c>
    </row>
    <row r="3172" spans="1:10" x14ac:dyDescent="0.25">
      <c r="A3172" s="10">
        <v>40474</v>
      </c>
      <c r="B3172" s="11" t="s">
        <v>8</v>
      </c>
      <c r="C3172" s="11" t="s">
        <v>5</v>
      </c>
      <c r="D3172" s="16" t="str">
        <f>HYPERLINK("https://freddywills.com/pick/4782/navy-7-120.html", "Navy +7 -120")</f>
        <v>Navy +7 -120</v>
      </c>
      <c r="E3172" s="11">
        <v>3.5</v>
      </c>
      <c r="F3172" s="11">
        <v>-1.2</v>
      </c>
      <c r="G3172" s="11" t="s">
        <v>4</v>
      </c>
      <c r="H3172" s="13">
        <v>2916.67</v>
      </c>
      <c r="I3172" s="14">
        <f t="shared" si="114"/>
        <v>0.5375453</v>
      </c>
      <c r="J3172" s="13">
        <f t="shared" si="115"/>
        <v>74280.76999999999</v>
      </c>
    </row>
    <row r="3173" spans="1:10" x14ac:dyDescent="0.25">
      <c r="A3173" s="10">
        <v>40474</v>
      </c>
      <c r="B3173" s="11" t="s">
        <v>8</v>
      </c>
      <c r="C3173" s="11" t="s">
        <v>5</v>
      </c>
      <c r="D3173" s="16" t="str">
        <f>HYPERLINK("https://freddywills.com/pick/4783/kent-st-2-5.html", "Kent St -2.5")</f>
        <v>Kent St -2.5</v>
      </c>
      <c r="E3173" s="11">
        <v>3.3</v>
      </c>
      <c r="F3173" s="11">
        <v>-1.1000000000000001</v>
      </c>
      <c r="G3173" s="11" t="s">
        <v>4</v>
      </c>
      <c r="H3173" s="13">
        <v>3000</v>
      </c>
      <c r="I3173" s="14">
        <f t="shared" si="114"/>
        <v>0.50837860000000001</v>
      </c>
      <c r="J3173" s="13">
        <f t="shared" si="115"/>
        <v>71364.099999999991</v>
      </c>
    </row>
    <row r="3174" spans="1:10" x14ac:dyDescent="0.25">
      <c r="A3174" s="10">
        <v>40474</v>
      </c>
      <c r="B3174" s="11" t="s">
        <v>8</v>
      </c>
      <c r="C3174" s="11" t="s">
        <v>5</v>
      </c>
      <c r="D3174" s="16" t="str">
        <f>HYPERLINK("https://freddywills.com/pick/4784/tulane-10.html", "Tulane +10")</f>
        <v>Tulane +10</v>
      </c>
      <c r="E3174" s="11">
        <v>4.4000000000000004</v>
      </c>
      <c r="F3174" s="11">
        <v>-1.1000000000000001</v>
      </c>
      <c r="G3174" s="11" t="s">
        <v>4</v>
      </c>
      <c r="H3174" s="13">
        <v>4000</v>
      </c>
      <c r="I3174" s="14">
        <f t="shared" si="114"/>
        <v>0.47837860000000004</v>
      </c>
      <c r="J3174" s="13">
        <f t="shared" si="115"/>
        <v>68364.099999999991</v>
      </c>
    </row>
    <row r="3175" spans="1:10" x14ac:dyDescent="0.25">
      <c r="A3175" s="10">
        <v>40474</v>
      </c>
      <c r="B3175" s="11" t="s">
        <v>8</v>
      </c>
      <c r="C3175" s="11" t="s">
        <v>5</v>
      </c>
      <c r="D3175" s="16" t="str">
        <f>HYPERLINK("https://freddywills.com/pick/4785/missouri-3.html", "Missouri +3")</f>
        <v>Missouri +3</v>
      </c>
      <c r="E3175" s="11">
        <v>4.4000000000000004</v>
      </c>
      <c r="F3175" s="11">
        <v>-1.1000000000000001</v>
      </c>
      <c r="G3175" s="11" t="s">
        <v>4</v>
      </c>
      <c r="H3175" s="13">
        <v>4000</v>
      </c>
      <c r="I3175" s="14">
        <f t="shared" ref="I3175:I3238" si="116">H3175/100000+I3176</f>
        <v>0.43837860000000006</v>
      </c>
      <c r="J3175" s="13">
        <f t="shared" ref="J3175:J3238" si="117">H3175+J3176</f>
        <v>64364.099999999991</v>
      </c>
    </row>
    <row r="3176" spans="1:10" x14ac:dyDescent="0.25">
      <c r="A3176" s="10">
        <v>40473</v>
      </c>
      <c r="B3176" s="11" t="s">
        <v>8</v>
      </c>
      <c r="C3176" s="11" t="s">
        <v>5</v>
      </c>
      <c r="D3176" s="16" t="str">
        <f>HYPERLINK("https://freddywills.com/pick/4786/cinci-8.html", "Cinci -8")</f>
        <v>Cinci -8</v>
      </c>
      <c r="E3176" s="11">
        <v>4.4000000000000004</v>
      </c>
      <c r="F3176" s="11">
        <v>-1.1000000000000001</v>
      </c>
      <c r="G3176" s="11" t="s">
        <v>6</v>
      </c>
      <c r="H3176" s="13">
        <v>-4400</v>
      </c>
      <c r="I3176" s="14">
        <f t="shared" si="116"/>
        <v>0.39837860000000008</v>
      </c>
      <c r="J3176" s="13">
        <f t="shared" si="117"/>
        <v>60364.099999999991</v>
      </c>
    </row>
    <row r="3177" spans="1:10" x14ac:dyDescent="0.25">
      <c r="A3177" s="10">
        <v>40472</v>
      </c>
      <c r="B3177" s="11" t="s">
        <v>8</v>
      </c>
      <c r="C3177" s="11" t="s">
        <v>5</v>
      </c>
      <c r="D3177" s="16" t="str">
        <f>HYPERLINK("https://freddywills.com/pick/4788/oregon-25-5.html", "Oregon -25.5")</f>
        <v>Oregon -25.5</v>
      </c>
      <c r="E3177" s="11">
        <v>3.3</v>
      </c>
      <c r="F3177" s="11">
        <v>-1.1000000000000001</v>
      </c>
      <c r="G3177" s="11" t="s">
        <v>4</v>
      </c>
      <c r="H3177" s="13">
        <v>3000</v>
      </c>
      <c r="I3177" s="14">
        <f t="shared" si="116"/>
        <v>0.44237860000000007</v>
      </c>
      <c r="J3177" s="13">
        <f t="shared" si="117"/>
        <v>64764.099999999991</v>
      </c>
    </row>
    <row r="3178" spans="1:10" x14ac:dyDescent="0.25">
      <c r="A3178" s="10">
        <v>40469</v>
      </c>
      <c r="B3178" s="11" t="s">
        <v>2</v>
      </c>
      <c r="C3178" s="11" t="s">
        <v>5</v>
      </c>
      <c r="D3178" s="16" t="str">
        <f>HYPERLINK("https://freddywills.com/pick/4792/jaguars-3.html", "Jaguars +3")</f>
        <v>Jaguars +3</v>
      </c>
      <c r="E3178" s="11">
        <v>4.4000000000000004</v>
      </c>
      <c r="F3178" s="11">
        <v>-1.1000000000000001</v>
      </c>
      <c r="G3178" s="11" t="s">
        <v>6</v>
      </c>
      <c r="H3178" s="13">
        <v>-4400</v>
      </c>
      <c r="I3178" s="14">
        <f t="shared" si="116"/>
        <v>0.41237860000000004</v>
      </c>
      <c r="J3178" s="13">
        <f t="shared" si="117"/>
        <v>61764.099999999991</v>
      </c>
    </row>
    <row r="3179" spans="1:10" x14ac:dyDescent="0.25">
      <c r="A3179" s="10">
        <v>40468</v>
      </c>
      <c r="B3179" s="11" t="s">
        <v>2</v>
      </c>
      <c r="C3179" s="11" t="s">
        <v>5</v>
      </c>
      <c r="D3179" s="16" t="str">
        <f>HYPERLINK("https://freddywills.com/pick/4794/falcons-2.html", "Falcons +2")</f>
        <v>Falcons +2</v>
      </c>
      <c r="E3179" s="11">
        <v>5.5</v>
      </c>
      <c r="F3179" s="11">
        <v>-1.1000000000000001</v>
      </c>
      <c r="G3179" s="11" t="s">
        <v>6</v>
      </c>
      <c r="H3179" s="13">
        <v>-5500</v>
      </c>
      <c r="I3179" s="14">
        <f t="shared" si="116"/>
        <v>0.45637860000000002</v>
      </c>
      <c r="J3179" s="13">
        <f t="shared" si="117"/>
        <v>66164.099999999991</v>
      </c>
    </row>
    <row r="3180" spans="1:10" x14ac:dyDescent="0.25">
      <c r="A3180" s="10">
        <v>40468</v>
      </c>
      <c r="B3180" s="11" t="s">
        <v>2</v>
      </c>
      <c r="C3180" s="11" t="s">
        <v>5</v>
      </c>
      <c r="D3180" s="16" t="str">
        <f>HYPERLINK("https://freddywills.com/pick/4796/vikings-1.html", "Vikings -1")</f>
        <v>Vikings -1</v>
      </c>
      <c r="E3180" s="11">
        <v>4</v>
      </c>
      <c r="F3180" s="11">
        <v>-1.1000000000000001</v>
      </c>
      <c r="G3180" s="11" t="s">
        <v>4</v>
      </c>
      <c r="H3180" s="13">
        <v>3636.36</v>
      </c>
      <c r="I3180" s="14">
        <f t="shared" si="116"/>
        <v>0.51137860000000002</v>
      </c>
      <c r="J3180" s="13">
        <f t="shared" si="117"/>
        <v>71664.099999999991</v>
      </c>
    </row>
    <row r="3181" spans="1:10" x14ac:dyDescent="0.25">
      <c r="A3181" s="10">
        <v>40468</v>
      </c>
      <c r="B3181" s="11" t="s">
        <v>2</v>
      </c>
      <c r="C3181" s="11" t="s">
        <v>5</v>
      </c>
      <c r="D3181" s="16" t="str">
        <f>HYPERLINK("https://freddywills.com/pick/4797/dolphins-3-100.html", "Dolphins +3 +100")</f>
        <v>Dolphins +3 +100</v>
      </c>
      <c r="E3181" s="11">
        <v>3</v>
      </c>
      <c r="F3181" s="11">
        <v>1</v>
      </c>
      <c r="G3181" s="11" t="s">
        <v>4</v>
      </c>
      <c r="H3181" s="13">
        <v>3000</v>
      </c>
      <c r="I3181" s="14">
        <f t="shared" si="116"/>
        <v>0.47501499999999997</v>
      </c>
      <c r="J3181" s="13">
        <f t="shared" si="117"/>
        <v>68027.739999999991</v>
      </c>
    </row>
    <row r="3182" spans="1:10" x14ac:dyDescent="0.25">
      <c r="A3182" s="10">
        <v>40467</v>
      </c>
      <c r="B3182" s="11" t="s">
        <v>8</v>
      </c>
      <c r="C3182" s="11" t="s">
        <v>5</v>
      </c>
      <c r="D3182" s="16" t="str">
        <f>HYPERLINK("https://freddywills.com/pick/4798/texas-10.html", "Texas +10")</f>
        <v>Texas +10</v>
      </c>
      <c r="E3182" s="11">
        <v>4.4000000000000004</v>
      </c>
      <c r="F3182" s="11">
        <v>-1.1000000000000001</v>
      </c>
      <c r="G3182" s="11" t="s">
        <v>4</v>
      </c>
      <c r="H3182" s="13">
        <v>4000</v>
      </c>
      <c r="I3182" s="14">
        <f t="shared" si="116"/>
        <v>0.44501499999999999</v>
      </c>
      <c r="J3182" s="13">
        <f t="shared" si="117"/>
        <v>65027.74</v>
      </c>
    </row>
    <row r="3183" spans="1:10" x14ac:dyDescent="0.25">
      <c r="A3183" s="10">
        <v>40467</v>
      </c>
      <c r="B3183" s="11" t="s">
        <v>8</v>
      </c>
      <c r="C3183" s="11" t="s">
        <v>18</v>
      </c>
      <c r="D3183" s="16" t="str">
        <f>HYPERLINK("https://freddywills.com/pick/4799/texas-300.html", "Texas +300")</f>
        <v>Texas +300</v>
      </c>
      <c r="E3183" s="11">
        <v>1</v>
      </c>
      <c r="F3183" s="11">
        <v>3</v>
      </c>
      <c r="G3183" s="11" t="s">
        <v>4</v>
      </c>
      <c r="H3183" s="13">
        <v>3000</v>
      </c>
      <c r="I3183" s="14">
        <f t="shared" si="116"/>
        <v>0.40501500000000001</v>
      </c>
      <c r="J3183" s="13">
        <f t="shared" si="117"/>
        <v>61027.74</v>
      </c>
    </row>
    <row r="3184" spans="1:10" x14ac:dyDescent="0.25">
      <c r="A3184" s="10">
        <v>40467</v>
      </c>
      <c r="B3184" s="11" t="s">
        <v>8</v>
      </c>
      <c r="C3184" s="11" t="s">
        <v>5</v>
      </c>
      <c r="D3184" s="16" t="str">
        <f>HYPERLINK("https://freddywills.com/pick/4800/uab-2-5.html", "UAB -2.5")</f>
        <v>UAB -2.5</v>
      </c>
      <c r="E3184" s="11">
        <v>2.2000000000000002</v>
      </c>
      <c r="F3184" s="11">
        <v>-1.1000000000000001</v>
      </c>
      <c r="G3184" s="11" t="s">
        <v>4</v>
      </c>
      <c r="H3184" s="13">
        <v>2000</v>
      </c>
      <c r="I3184" s="14">
        <f t="shared" si="116"/>
        <v>0.37501499999999999</v>
      </c>
      <c r="J3184" s="13">
        <f t="shared" si="117"/>
        <v>58027.74</v>
      </c>
    </row>
    <row r="3185" spans="1:10" x14ac:dyDescent="0.25">
      <c r="A3185" s="10">
        <v>40467</v>
      </c>
      <c r="B3185" s="11" t="s">
        <v>8</v>
      </c>
      <c r="C3185" s="11" t="s">
        <v>5</v>
      </c>
      <c r="D3185" s="16" t="str">
        <f>HYPERLINK("https://freddywills.com/pick/4801/maryland-14-5.html", "Maryland +14.5")</f>
        <v>Maryland +14.5</v>
      </c>
      <c r="E3185" s="11">
        <v>2.5</v>
      </c>
      <c r="F3185" s="11">
        <v>-1.1000000000000001</v>
      </c>
      <c r="G3185" s="11" t="s">
        <v>6</v>
      </c>
      <c r="H3185" s="13">
        <v>-2500</v>
      </c>
      <c r="I3185" s="14">
        <f t="shared" si="116"/>
        <v>0.35501499999999997</v>
      </c>
      <c r="J3185" s="13">
        <f t="shared" si="117"/>
        <v>56027.74</v>
      </c>
    </row>
    <row r="3186" spans="1:10" x14ac:dyDescent="0.25">
      <c r="A3186" s="10">
        <v>40467</v>
      </c>
      <c r="B3186" s="11" t="s">
        <v>8</v>
      </c>
      <c r="C3186" s="11" t="s">
        <v>5</v>
      </c>
      <c r="D3186" s="16" t="str">
        <f>HYPERLINK("https://freddywills.com/pick/4802/wisconsin-4-5.html", "Wisconsin +4.5")</f>
        <v>Wisconsin +4.5</v>
      </c>
      <c r="E3186" s="11">
        <v>5</v>
      </c>
      <c r="F3186" s="11">
        <v>-1.1000000000000001</v>
      </c>
      <c r="G3186" s="11" t="s">
        <v>4</v>
      </c>
      <c r="H3186" s="13">
        <v>4545.45</v>
      </c>
      <c r="I3186" s="14">
        <f t="shared" si="116"/>
        <v>0.38001499999999999</v>
      </c>
      <c r="J3186" s="13">
        <f t="shared" si="117"/>
        <v>58527.74</v>
      </c>
    </row>
    <row r="3187" spans="1:10" x14ac:dyDescent="0.25">
      <c r="A3187" s="10">
        <v>40467</v>
      </c>
      <c r="B3187" s="11" t="s">
        <v>8</v>
      </c>
      <c r="C3187" s="11" t="s">
        <v>18</v>
      </c>
      <c r="D3187" s="16" t="str">
        <f>HYPERLINK("https://freddywills.com/pick/4803/san-diego-st-100.html", "San Diego St +100")</f>
        <v>San Diego St +100</v>
      </c>
      <c r="E3187" s="11">
        <v>4</v>
      </c>
      <c r="F3187" s="11">
        <v>1</v>
      </c>
      <c r="G3187" s="11" t="s">
        <v>4</v>
      </c>
      <c r="H3187" s="13">
        <v>4000</v>
      </c>
      <c r="I3187" s="14">
        <f t="shared" si="116"/>
        <v>0.33456049999999998</v>
      </c>
      <c r="J3187" s="13">
        <f t="shared" si="117"/>
        <v>53982.29</v>
      </c>
    </row>
    <row r="3188" spans="1:10" x14ac:dyDescent="0.25">
      <c r="A3188" s="10">
        <v>40467</v>
      </c>
      <c r="B3188" s="11" t="s">
        <v>8</v>
      </c>
      <c r="C3188" s="11" t="s">
        <v>5</v>
      </c>
      <c r="D3188" s="16" t="str">
        <f>HYPERLINK("https://freddywills.com/pick/4804/hawaii-7.html", "Hawaii +7")</f>
        <v>Hawaii +7</v>
      </c>
      <c r="E3188" s="11">
        <v>3.3</v>
      </c>
      <c r="F3188" s="11">
        <v>-1.1000000000000001</v>
      </c>
      <c r="G3188" s="11" t="s">
        <v>4</v>
      </c>
      <c r="H3188" s="13">
        <v>3000</v>
      </c>
      <c r="I3188" s="14">
        <f t="shared" si="116"/>
        <v>0.2945605</v>
      </c>
      <c r="J3188" s="13">
        <f t="shared" si="117"/>
        <v>49982.29</v>
      </c>
    </row>
    <row r="3189" spans="1:10" x14ac:dyDescent="0.25">
      <c r="A3189" s="10">
        <v>40466</v>
      </c>
      <c r="B3189" s="11" t="s">
        <v>8</v>
      </c>
      <c r="C3189" s="11" t="s">
        <v>5</v>
      </c>
      <c r="D3189" s="16" t="str">
        <f>HYPERLINK("https://freddywills.com/pick/4806/louisville-3.html", "Louisville +3")</f>
        <v>Louisville +3</v>
      </c>
      <c r="E3189" s="11">
        <v>3.5</v>
      </c>
      <c r="F3189" s="11">
        <v>-1.1000000000000001</v>
      </c>
      <c r="G3189" s="11" t="s">
        <v>6</v>
      </c>
      <c r="H3189" s="13">
        <v>-3500</v>
      </c>
      <c r="I3189" s="14">
        <f t="shared" si="116"/>
        <v>0.26456049999999998</v>
      </c>
      <c r="J3189" s="13">
        <f t="shared" si="117"/>
        <v>46982.29</v>
      </c>
    </row>
    <row r="3190" spans="1:10" x14ac:dyDescent="0.25">
      <c r="A3190" s="10">
        <v>40465</v>
      </c>
      <c r="B3190" s="11" t="s">
        <v>8</v>
      </c>
      <c r="C3190" s="11" t="s">
        <v>5</v>
      </c>
      <c r="D3190" s="16" t="str">
        <f>HYPERLINK("https://freddywills.com/pick/4807/west-virg-10.html", "West Virg -10")</f>
        <v>West Virg -10</v>
      </c>
      <c r="E3190" s="11">
        <v>3.3</v>
      </c>
      <c r="F3190" s="11">
        <v>-1.1000000000000001</v>
      </c>
      <c r="G3190" s="11" t="s">
        <v>4</v>
      </c>
      <c r="H3190" s="13">
        <v>3000</v>
      </c>
      <c r="I3190" s="14">
        <f t="shared" si="116"/>
        <v>0.29956050000000001</v>
      </c>
      <c r="J3190" s="13">
        <f t="shared" si="117"/>
        <v>50482.29</v>
      </c>
    </row>
    <row r="3191" spans="1:10" x14ac:dyDescent="0.25">
      <c r="A3191" s="10">
        <v>40464</v>
      </c>
      <c r="B3191" s="11" t="s">
        <v>8</v>
      </c>
      <c r="C3191" s="11" t="s">
        <v>5</v>
      </c>
      <c r="D3191" s="16" t="str">
        <f>HYPERLINK("https://freddywills.com/pick/4808/marshall-6.html", "Marshall +6")</f>
        <v>Marshall +6</v>
      </c>
      <c r="E3191" s="11">
        <v>4.4000000000000004</v>
      </c>
      <c r="F3191" s="11">
        <v>-1.1000000000000001</v>
      </c>
      <c r="G3191" s="11" t="s">
        <v>6</v>
      </c>
      <c r="H3191" s="13">
        <v>-4400</v>
      </c>
      <c r="I3191" s="14">
        <f t="shared" si="116"/>
        <v>0.26956050000000004</v>
      </c>
      <c r="J3191" s="13">
        <f t="shared" si="117"/>
        <v>47482.29</v>
      </c>
    </row>
    <row r="3192" spans="1:10" x14ac:dyDescent="0.25">
      <c r="A3192" s="10">
        <v>40464</v>
      </c>
      <c r="B3192" s="11" t="s">
        <v>8</v>
      </c>
      <c r="C3192" s="11" t="s">
        <v>18</v>
      </c>
      <c r="D3192" s="16" t="str">
        <f>HYPERLINK("https://freddywills.com/pick/4809/marshall-200.html", "Marshall +200")</f>
        <v>Marshall +200</v>
      </c>
      <c r="E3192" s="11">
        <v>1</v>
      </c>
      <c r="F3192" s="11">
        <v>2</v>
      </c>
      <c r="G3192" s="11" t="s">
        <v>6</v>
      </c>
      <c r="H3192" s="13">
        <v>-1000</v>
      </c>
      <c r="I3192" s="14">
        <f t="shared" si="116"/>
        <v>0.31356050000000002</v>
      </c>
      <c r="J3192" s="13">
        <f t="shared" si="117"/>
        <v>51882.29</v>
      </c>
    </row>
    <row r="3193" spans="1:10" x14ac:dyDescent="0.25">
      <c r="A3193" s="10">
        <v>40461</v>
      </c>
      <c r="B3193" s="11" t="s">
        <v>2</v>
      </c>
      <c r="C3193" s="11" t="s">
        <v>5</v>
      </c>
      <c r="D3193" s="16" t="str">
        <f>HYPERLINK("https://freddywills.com/pick/4813/bengals-6-5.html", "Bengals -6.5")</f>
        <v>Bengals -6.5</v>
      </c>
      <c r="E3193" s="11">
        <v>4</v>
      </c>
      <c r="F3193" s="11">
        <v>-1.1000000000000001</v>
      </c>
      <c r="G3193" s="11" t="s">
        <v>6</v>
      </c>
      <c r="H3193" s="13">
        <v>-4000</v>
      </c>
      <c r="I3193" s="14">
        <f t="shared" si="116"/>
        <v>0.32356050000000003</v>
      </c>
      <c r="J3193" s="13">
        <f t="shared" si="117"/>
        <v>52882.29</v>
      </c>
    </row>
    <row r="3194" spans="1:10" x14ac:dyDescent="0.25">
      <c r="A3194" s="10">
        <v>40461</v>
      </c>
      <c r="B3194" s="11" t="s">
        <v>2</v>
      </c>
      <c r="C3194" s="11" t="s">
        <v>5</v>
      </c>
      <c r="D3194" s="16" t="str">
        <f>HYPERLINK("https://freddywills.com/pick/4814/lions-3.html", "Lions -3")</f>
        <v>Lions -3</v>
      </c>
      <c r="E3194" s="11">
        <v>5.5</v>
      </c>
      <c r="F3194" s="11">
        <v>-1.1000000000000001</v>
      </c>
      <c r="G3194" s="11" t="s">
        <v>4</v>
      </c>
      <c r="H3194" s="13">
        <v>5000</v>
      </c>
      <c r="I3194" s="14">
        <f t="shared" si="116"/>
        <v>0.36356050000000001</v>
      </c>
      <c r="J3194" s="13">
        <f t="shared" si="117"/>
        <v>56882.29</v>
      </c>
    </row>
    <row r="3195" spans="1:10" x14ac:dyDescent="0.25">
      <c r="A3195" s="10">
        <v>40461</v>
      </c>
      <c r="B3195" s="11" t="s">
        <v>2</v>
      </c>
      <c r="C3195" s="11" t="s">
        <v>5</v>
      </c>
      <c r="D3195" s="16" t="str">
        <f>HYPERLINK("https://freddywills.com/pick/4815/niners-3-5.html", "Niners -3.5")</f>
        <v>Niners -3.5</v>
      </c>
      <c r="E3195" s="11">
        <v>3.5</v>
      </c>
      <c r="F3195" s="11">
        <v>-1.1000000000000001</v>
      </c>
      <c r="G3195" s="11" t="s">
        <v>6</v>
      </c>
      <c r="H3195" s="13">
        <v>-3500</v>
      </c>
      <c r="I3195" s="14">
        <f t="shared" si="116"/>
        <v>0.31356050000000002</v>
      </c>
      <c r="J3195" s="13">
        <f t="shared" si="117"/>
        <v>51882.29</v>
      </c>
    </row>
    <row r="3196" spans="1:10" x14ac:dyDescent="0.25">
      <c r="A3196" s="10">
        <v>40460</v>
      </c>
      <c r="B3196" s="11" t="s">
        <v>8</v>
      </c>
      <c r="C3196" s="11" t="s">
        <v>5</v>
      </c>
      <c r="D3196" s="16" t="str">
        <f>HYPERLINK("https://freddywills.com/pick/4816/indiana-22-5.html", "Indiana +22.5")</f>
        <v>Indiana +22.5</v>
      </c>
      <c r="E3196" s="11">
        <v>3.3</v>
      </c>
      <c r="F3196" s="11">
        <v>-1.1000000000000001</v>
      </c>
      <c r="G3196" s="11" t="s">
        <v>6</v>
      </c>
      <c r="H3196" s="13">
        <v>-3300</v>
      </c>
      <c r="I3196" s="14">
        <f t="shared" si="116"/>
        <v>0.34856050000000005</v>
      </c>
      <c r="J3196" s="13">
        <f t="shared" si="117"/>
        <v>55382.29</v>
      </c>
    </row>
    <row r="3197" spans="1:10" x14ac:dyDescent="0.25">
      <c r="A3197" s="10">
        <v>40460</v>
      </c>
      <c r="B3197" s="11" t="s">
        <v>8</v>
      </c>
      <c r="C3197" s="11" t="s">
        <v>5</v>
      </c>
      <c r="D3197" s="16" t="str">
        <f>HYPERLINK("https://freddywills.com/pick/4817/arkansas-5-5.html", "Arkansas -5.5")</f>
        <v>Arkansas -5.5</v>
      </c>
      <c r="E3197" s="11">
        <v>4.4000000000000004</v>
      </c>
      <c r="F3197" s="11">
        <v>-1.1000000000000001</v>
      </c>
      <c r="G3197" s="11" t="s">
        <v>4</v>
      </c>
      <c r="H3197" s="13">
        <v>4000</v>
      </c>
      <c r="I3197" s="14">
        <f t="shared" si="116"/>
        <v>0.38156050000000008</v>
      </c>
      <c r="J3197" s="13">
        <f t="shared" si="117"/>
        <v>58682.29</v>
      </c>
    </row>
    <row r="3198" spans="1:10" x14ac:dyDescent="0.25">
      <c r="A3198" s="10">
        <v>40460</v>
      </c>
      <c r="B3198" s="11" t="s">
        <v>8</v>
      </c>
      <c r="C3198" s="11" t="s">
        <v>5</v>
      </c>
      <c r="D3198" s="16" t="str">
        <f>HYPERLINK("https://freddywills.com/pick/4818/michigan-state-4-5.html", "Michigan State +4.5")</f>
        <v>Michigan State +4.5</v>
      </c>
      <c r="E3198" s="11">
        <v>5</v>
      </c>
      <c r="F3198" s="11">
        <v>-1.1000000000000001</v>
      </c>
      <c r="G3198" s="11" t="s">
        <v>4</v>
      </c>
      <c r="H3198" s="13">
        <v>4545.45</v>
      </c>
      <c r="I3198" s="14">
        <f t="shared" si="116"/>
        <v>0.3415605000000001</v>
      </c>
      <c r="J3198" s="13">
        <f t="shared" si="117"/>
        <v>54682.29</v>
      </c>
    </row>
    <row r="3199" spans="1:10" x14ac:dyDescent="0.25">
      <c r="A3199" s="10">
        <v>40460</v>
      </c>
      <c r="B3199" s="11" t="s">
        <v>8</v>
      </c>
      <c r="C3199" s="11" t="s">
        <v>18</v>
      </c>
      <c r="D3199" s="16" t="str">
        <f>HYPERLINK("https://freddywills.com/pick/4819/wake-5.html", "Wake +5")</f>
        <v>Wake +5</v>
      </c>
      <c r="E3199" s="11">
        <v>1.1000000000000001</v>
      </c>
      <c r="F3199" s="11">
        <v>-1.1000000000000001</v>
      </c>
      <c r="G3199" s="11" t="s">
        <v>4</v>
      </c>
      <c r="H3199" s="13">
        <v>1000</v>
      </c>
      <c r="I3199" s="14">
        <f t="shared" si="116"/>
        <v>0.29610600000000009</v>
      </c>
      <c r="J3199" s="13">
        <f t="shared" si="117"/>
        <v>50136.840000000004</v>
      </c>
    </row>
    <row r="3200" spans="1:10" x14ac:dyDescent="0.25">
      <c r="A3200" s="10">
        <v>40460</v>
      </c>
      <c r="B3200" s="11" t="s">
        <v>8</v>
      </c>
      <c r="C3200" s="11" t="s">
        <v>5</v>
      </c>
      <c r="D3200" s="16" t="str">
        <f>HYPERLINK("https://freddywills.com/pick/4820/ark-st-2-5.html", "Ark St -2.5")</f>
        <v>Ark St -2.5</v>
      </c>
      <c r="E3200" s="11">
        <v>4</v>
      </c>
      <c r="F3200" s="11">
        <v>-1.1000000000000001</v>
      </c>
      <c r="G3200" s="11" t="s">
        <v>4</v>
      </c>
      <c r="H3200" s="13">
        <v>3636.36</v>
      </c>
      <c r="I3200" s="14">
        <f t="shared" si="116"/>
        <v>0.28610600000000008</v>
      </c>
      <c r="J3200" s="13">
        <f t="shared" si="117"/>
        <v>49136.840000000004</v>
      </c>
    </row>
    <row r="3201" spans="1:10" x14ac:dyDescent="0.25">
      <c r="A3201" s="10">
        <v>40460</v>
      </c>
      <c r="B3201" s="11" t="s">
        <v>8</v>
      </c>
      <c r="C3201" s="11" t="s">
        <v>5</v>
      </c>
      <c r="D3201" s="16" t="str">
        <f>HYPERLINK("https://freddywills.com/pick/4821/miss-st-5.html", "Miss St -5")</f>
        <v>Miss St -5</v>
      </c>
      <c r="E3201" s="11">
        <v>3.3</v>
      </c>
      <c r="F3201" s="11">
        <v>-1.1000000000000001</v>
      </c>
      <c r="G3201" s="11" t="s">
        <v>4</v>
      </c>
      <c r="H3201" s="13">
        <v>3000</v>
      </c>
      <c r="I3201" s="14">
        <f t="shared" si="116"/>
        <v>0.24974240000000009</v>
      </c>
      <c r="J3201" s="13">
        <f t="shared" si="117"/>
        <v>45500.480000000003</v>
      </c>
    </row>
    <row r="3202" spans="1:10" x14ac:dyDescent="0.25">
      <c r="A3202" s="10">
        <v>40459</v>
      </c>
      <c r="B3202" s="11" t="s">
        <v>8</v>
      </c>
      <c r="C3202" s="11" t="s">
        <v>5</v>
      </c>
      <c r="D3202" s="16" t="str">
        <f>HYPERLINK("https://freddywills.com/pick/4823/rutgers-5-5.html", "Rutgers +5.5")</f>
        <v>Rutgers +5.5</v>
      </c>
      <c r="E3202" s="11">
        <v>3.3</v>
      </c>
      <c r="F3202" s="11">
        <v>-1.1000000000000001</v>
      </c>
      <c r="G3202" s="11" t="s">
        <v>4</v>
      </c>
      <c r="H3202" s="13">
        <v>3000</v>
      </c>
      <c r="I3202" s="14">
        <f t="shared" si="116"/>
        <v>0.21974240000000009</v>
      </c>
      <c r="J3202" s="13">
        <f t="shared" si="117"/>
        <v>42500.480000000003</v>
      </c>
    </row>
    <row r="3203" spans="1:10" x14ac:dyDescent="0.25">
      <c r="A3203" s="10">
        <v>40458</v>
      </c>
      <c r="B3203" s="11" t="s">
        <v>8</v>
      </c>
      <c r="C3203" s="11" t="s">
        <v>5</v>
      </c>
      <c r="D3203" s="16" t="str">
        <f>HYPERLINK("https://freddywills.com/pick/4826/kstate-12.html", "Kstate +12")</f>
        <v>Kstate +12</v>
      </c>
      <c r="E3203" s="11">
        <v>4</v>
      </c>
      <c r="F3203" s="11">
        <v>-1.1000000000000001</v>
      </c>
      <c r="G3203" s="11" t="s">
        <v>6</v>
      </c>
      <c r="H3203" s="13">
        <v>-4000</v>
      </c>
      <c r="I3203" s="14">
        <f t="shared" si="116"/>
        <v>0.18974240000000009</v>
      </c>
      <c r="J3203" s="13">
        <f t="shared" si="117"/>
        <v>39500.480000000003</v>
      </c>
    </row>
    <row r="3204" spans="1:10" x14ac:dyDescent="0.25">
      <c r="A3204" s="10">
        <v>40457</v>
      </c>
      <c r="B3204" s="11" t="s">
        <v>8</v>
      </c>
      <c r="C3204" s="11" t="s">
        <v>5</v>
      </c>
      <c r="D3204" s="16" t="str">
        <f>HYPERLINK("https://freddywills.com/pick/4827/uab-13.html", "UAB +13")</f>
        <v>UAB +13</v>
      </c>
      <c r="E3204" s="11">
        <v>3.3</v>
      </c>
      <c r="F3204" s="11">
        <v>-1.1000000000000001</v>
      </c>
      <c r="G3204" s="11" t="s">
        <v>6</v>
      </c>
      <c r="H3204" s="13">
        <v>-3300</v>
      </c>
      <c r="I3204" s="14">
        <f t="shared" si="116"/>
        <v>0.2297424000000001</v>
      </c>
      <c r="J3204" s="13">
        <f t="shared" si="117"/>
        <v>43500.480000000003</v>
      </c>
    </row>
    <row r="3205" spans="1:10" x14ac:dyDescent="0.25">
      <c r="A3205" s="10">
        <v>40456</v>
      </c>
      <c r="B3205" s="11" t="s">
        <v>8</v>
      </c>
      <c r="C3205" s="11" t="s">
        <v>5</v>
      </c>
      <c r="D3205" s="16" t="str">
        <f>HYPERLINK("https://freddywills.com/pick/4829/mtsu-3-5.html", "MTSU -3.5")</f>
        <v>MTSU -3.5</v>
      </c>
      <c r="E3205" s="11">
        <v>5</v>
      </c>
      <c r="F3205" s="11">
        <v>-1.1000000000000001</v>
      </c>
      <c r="G3205" s="11" t="s">
        <v>6</v>
      </c>
      <c r="H3205" s="13">
        <v>-5000</v>
      </c>
      <c r="I3205" s="14">
        <f t="shared" si="116"/>
        <v>0.2627424000000001</v>
      </c>
      <c r="J3205" s="13">
        <f t="shared" si="117"/>
        <v>46800.480000000003</v>
      </c>
    </row>
    <row r="3206" spans="1:10" x14ac:dyDescent="0.25">
      <c r="A3206" s="10">
        <v>40455</v>
      </c>
      <c r="B3206" s="11" t="s">
        <v>2</v>
      </c>
      <c r="C3206" s="11" t="s">
        <v>5</v>
      </c>
      <c r="D3206" s="16" t="str">
        <f>HYPERLINK("https://freddywills.com/pick/4830/dolphins-pk.html", "Dolphins pk")</f>
        <v>Dolphins pk</v>
      </c>
      <c r="E3206" s="11">
        <v>4.4000000000000004</v>
      </c>
      <c r="F3206" s="11">
        <v>-1.1000000000000001</v>
      </c>
      <c r="G3206" s="11" t="s">
        <v>6</v>
      </c>
      <c r="H3206" s="13">
        <v>-4400</v>
      </c>
      <c r="I3206" s="14">
        <f t="shared" si="116"/>
        <v>0.31274240000000009</v>
      </c>
      <c r="J3206" s="13">
        <f t="shared" si="117"/>
        <v>51800.480000000003</v>
      </c>
    </row>
    <row r="3207" spans="1:10" x14ac:dyDescent="0.25">
      <c r="A3207" s="10">
        <v>40454</v>
      </c>
      <c r="B3207" s="11" t="s">
        <v>2</v>
      </c>
      <c r="C3207" s="11" t="s">
        <v>5</v>
      </c>
      <c r="D3207" s="16" t="str">
        <f>HYPERLINK("https://freddywills.com/pick/4831/redskins-6.html", "Redskins +6")</f>
        <v>Redskins +6</v>
      </c>
      <c r="E3207" s="11">
        <v>4.4000000000000004</v>
      </c>
      <c r="F3207" s="11">
        <v>-1.1000000000000001</v>
      </c>
      <c r="G3207" s="11" t="s">
        <v>4</v>
      </c>
      <c r="H3207" s="13">
        <v>4000</v>
      </c>
      <c r="I3207" s="14">
        <f t="shared" si="116"/>
        <v>0.35674240000000007</v>
      </c>
      <c r="J3207" s="13">
        <f t="shared" si="117"/>
        <v>56200.480000000003</v>
      </c>
    </row>
    <row r="3208" spans="1:10" x14ac:dyDescent="0.25">
      <c r="A3208" s="10">
        <v>40454</v>
      </c>
      <c r="B3208" s="11" t="s">
        <v>2</v>
      </c>
      <c r="C3208" s="11" t="s">
        <v>5</v>
      </c>
      <c r="D3208" s="16" t="str">
        <f>HYPERLINK("https://freddywills.com/pick/4832/browns-3.html", "Browns +3")</f>
        <v>Browns +3</v>
      </c>
      <c r="E3208" s="11">
        <v>3.3</v>
      </c>
      <c r="F3208" s="11">
        <v>-1.1000000000000001</v>
      </c>
      <c r="G3208" s="11" t="s">
        <v>4</v>
      </c>
      <c r="H3208" s="13">
        <v>3000</v>
      </c>
      <c r="I3208" s="14">
        <f t="shared" si="116"/>
        <v>0.31674240000000009</v>
      </c>
      <c r="J3208" s="13">
        <f t="shared" si="117"/>
        <v>52200.480000000003</v>
      </c>
    </row>
    <row r="3209" spans="1:10" x14ac:dyDescent="0.25">
      <c r="A3209" s="10">
        <v>40454</v>
      </c>
      <c r="B3209" s="11" t="s">
        <v>2</v>
      </c>
      <c r="C3209" s="11" t="s">
        <v>5</v>
      </c>
      <c r="D3209" s="16" t="str">
        <f>HYPERLINK("https://freddywills.com/pick/4833/giants-3-120.html", "Giants -3 -120")</f>
        <v>Giants -3 -120</v>
      </c>
      <c r="E3209" s="11">
        <v>4</v>
      </c>
      <c r="F3209" s="11">
        <v>-1.1000000000000001</v>
      </c>
      <c r="G3209" s="11" t="s">
        <v>4</v>
      </c>
      <c r="H3209" s="13">
        <v>3636.36</v>
      </c>
      <c r="I3209" s="14">
        <f t="shared" si="116"/>
        <v>0.28674240000000006</v>
      </c>
      <c r="J3209" s="13">
        <f t="shared" si="117"/>
        <v>49200.480000000003</v>
      </c>
    </row>
    <row r="3210" spans="1:10" x14ac:dyDescent="0.25">
      <c r="A3210" s="10">
        <v>40453</v>
      </c>
      <c r="B3210" s="11" t="s">
        <v>8</v>
      </c>
      <c r="C3210" s="11" t="s">
        <v>5</v>
      </c>
      <c r="D3210" s="16" t="str">
        <f>HYPERLINK("https://freddywills.com/pick/4834/clemson-3-5.html", "Clemson +3.5")</f>
        <v>Clemson +3.5</v>
      </c>
      <c r="E3210" s="11">
        <v>4</v>
      </c>
      <c r="F3210" s="11">
        <v>-1.1000000000000001</v>
      </c>
      <c r="G3210" s="11" t="s">
        <v>6</v>
      </c>
      <c r="H3210" s="13">
        <v>-4000</v>
      </c>
      <c r="I3210" s="14">
        <f t="shared" si="116"/>
        <v>0.25037880000000007</v>
      </c>
      <c r="J3210" s="13">
        <f t="shared" si="117"/>
        <v>45564.12</v>
      </c>
    </row>
    <row r="3211" spans="1:10" x14ac:dyDescent="0.25">
      <c r="A3211" s="10">
        <v>40453</v>
      </c>
      <c r="B3211" s="11" t="s">
        <v>8</v>
      </c>
      <c r="C3211" s="11" t="s">
        <v>5</v>
      </c>
      <c r="D3211" s="16" t="str">
        <f>HYPERLINK("https://freddywills.com/pick/4835/vandy-7-5.html", "Vandy +7.5")</f>
        <v>Vandy +7.5</v>
      </c>
      <c r="E3211" s="11">
        <v>1.1000000000000001</v>
      </c>
      <c r="F3211" s="11">
        <v>-1.1000000000000001</v>
      </c>
      <c r="G3211" s="11" t="s">
        <v>6</v>
      </c>
      <c r="H3211" s="13">
        <v>-1100</v>
      </c>
      <c r="I3211" s="14">
        <f t="shared" si="116"/>
        <v>0.29037880000000005</v>
      </c>
      <c r="J3211" s="13">
        <f t="shared" si="117"/>
        <v>49564.12</v>
      </c>
    </row>
    <row r="3212" spans="1:10" x14ac:dyDescent="0.25">
      <c r="A3212" s="10">
        <v>40453</v>
      </c>
      <c r="B3212" s="11" t="s">
        <v>8</v>
      </c>
      <c r="C3212" s="11" t="s">
        <v>5</v>
      </c>
      <c r="D3212" s="16" t="str">
        <f>HYPERLINK("https://freddywills.com/pick/4836/virginia-7.html", "Virginia +7")</f>
        <v>Virginia +7</v>
      </c>
      <c r="E3212" s="11">
        <v>2.2000000000000002</v>
      </c>
      <c r="F3212" s="11">
        <v>-1.1000000000000001</v>
      </c>
      <c r="G3212" s="11" t="s">
        <v>6</v>
      </c>
      <c r="H3212" s="13">
        <v>-2200</v>
      </c>
      <c r="I3212" s="14">
        <f t="shared" si="116"/>
        <v>0.30137880000000006</v>
      </c>
      <c r="J3212" s="13">
        <f t="shared" si="117"/>
        <v>50664.12</v>
      </c>
    </row>
    <row r="3213" spans="1:10" x14ac:dyDescent="0.25">
      <c r="A3213" s="10">
        <v>40453</v>
      </c>
      <c r="B3213" s="11" t="s">
        <v>8</v>
      </c>
      <c r="C3213" s="11" t="s">
        <v>18</v>
      </c>
      <c r="D3213" s="16" t="str">
        <f>HYPERLINK("https://freddywills.com/pick/4837/indiana-330.html", "Indiana +330")</f>
        <v>Indiana +330</v>
      </c>
      <c r="E3213" s="11">
        <v>1.5</v>
      </c>
      <c r="F3213" s="11">
        <v>3.3</v>
      </c>
      <c r="G3213" s="11" t="s">
        <v>6</v>
      </c>
      <c r="H3213" s="13">
        <v>-1500</v>
      </c>
      <c r="I3213" s="14">
        <f t="shared" si="116"/>
        <v>0.32337880000000008</v>
      </c>
      <c r="J3213" s="13">
        <f t="shared" si="117"/>
        <v>52864.12</v>
      </c>
    </row>
    <row r="3214" spans="1:10" x14ac:dyDescent="0.25">
      <c r="A3214" s="10">
        <v>40453</v>
      </c>
      <c r="B3214" s="11" t="s">
        <v>8</v>
      </c>
      <c r="C3214" s="11" t="s">
        <v>5</v>
      </c>
      <c r="D3214" s="16" t="str">
        <f>HYPERLINK("https://freddywills.com/pick/4838/indiana-10.html", "Indiana +10")</f>
        <v>Indiana +10</v>
      </c>
      <c r="E3214" s="11">
        <v>5.5</v>
      </c>
      <c r="F3214" s="11">
        <v>-1.1000000000000001</v>
      </c>
      <c r="G3214" s="11" t="s">
        <v>4</v>
      </c>
      <c r="H3214" s="13">
        <v>5000</v>
      </c>
      <c r="I3214" s="14">
        <f t="shared" si="116"/>
        <v>0.33837880000000009</v>
      </c>
      <c r="J3214" s="13">
        <f t="shared" si="117"/>
        <v>54364.12</v>
      </c>
    </row>
    <row r="3215" spans="1:10" x14ac:dyDescent="0.25">
      <c r="A3215" s="10">
        <v>40453</v>
      </c>
      <c r="B3215" s="11" t="s">
        <v>8</v>
      </c>
      <c r="C3215" s="11" t="s">
        <v>5</v>
      </c>
      <c r="D3215" s="16" t="str">
        <f>HYPERLINK("https://freddywills.com/pick/4839/wyoming-4-5.html", "Wyoming +4.5")</f>
        <v>Wyoming +4.5</v>
      </c>
      <c r="E3215" s="11">
        <v>4</v>
      </c>
      <c r="F3215" s="11">
        <v>-1.1000000000000001</v>
      </c>
      <c r="G3215" s="11" t="s">
        <v>4</v>
      </c>
      <c r="H3215" s="13">
        <v>3636.36</v>
      </c>
      <c r="I3215" s="14">
        <f t="shared" si="116"/>
        <v>0.2883788000000001</v>
      </c>
      <c r="J3215" s="13">
        <f t="shared" si="117"/>
        <v>49364.12</v>
      </c>
    </row>
    <row r="3216" spans="1:10" x14ac:dyDescent="0.25">
      <c r="A3216" s="10">
        <v>40453</v>
      </c>
      <c r="B3216" s="11" t="s">
        <v>8</v>
      </c>
      <c r="C3216" s="11" t="s">
        <v>5</v>
      </c>
      <c r="D3216" s="16" t="str">
        <f>HYPERLINK("https://freddywills.com/pick/4840/memphis-10.html", "Memphis +10")</f>
        <v>Memphis +10</v>
      </c>
      <c r="E3216" s="11">
        <v>3</v>
      </c>
      <c r="F3216" s="11">
        <v>-1.1000000000000001</v>
      </c>
      <c r="G3216" s="11" t="s">
        <v>6</v>
      </c>
      <c r="H3216" s="13">
        <v>-3000</v>
      </c>
      <c r="I3216" s="14">
        <f t="shared" si="116"/>
        <v>0.25201520000000011</v>
      </c>
      <c r="J3216" s="13">
        <f t="shared" si="117"/>
        <v>45727.76</v>
      </c>
    </row>
    <row r="3217" spans="1:10" x14ac:dyDescent="0.25">
      <c r="A3217" s="10">
        <v>40453</v>
      </c>
      <c r="B3217" s="11" t="s">
        <v>8</v>
      </c>
      <c r="C3217" s="11" t="s">
        <v>5</v>
      </c>
      <c r="D3217" s="16" t="str">
        <f>HYPERLINK("https://freddywills.com/pick/4841/bc-3.html", "BC +3")</f>
        <v>BC +3</v>
      </c>
      <c r="E3217" s="11">
        <v>5</v>
      </c>
      <c r="F3217" s="11">
        <v>-1.1000000000000001</v>
      </c>
      <c r="G3217" s="11" t="s">
        <v>6</v>
      </c>
      <c r="H3217" s="13">
        <v>-5000</v>
      </c>
      <c r="I3217" s="14">
        <f t="shared" si="116"/>
        <v>0.28201520000000008</v>
      </c>
      <c r="J3217" s="13">
        <f t="shared" si="117"/>
        <v>48727.76</v>
      </c>
    </row>
    <row r="3218" spans="1:10" x14ac:dyDescent="0.25">
      <c r="A3218" s="10">
        <v>40453</v>
      </c>
      <c r="B3218" s="11" t="s">
        <v>8</v>
      </c>
      <c r="C3218" s="11" t="s">
        <v>5</v>
      </c>
      <c r="D3218" s="16" t="str">
        <f>HYPERLINK("https://freddywills.com/pick/4842/lsu-16-5.html", "LSU -16.5")</f>
        <v>LSU -16.5</v>
      </c>
      <c r="E3218" s="11">
        <v>3.3</v>
      </c>
      <c r="F3218" s="11">
        <v>-1.1000000000000001</v>
      </c>
      <c r="G3218" s="11" t="s">
        <v>6</v>
      </c>
      <c r="H3218" s="13">
        <v>-3300</v>
      </c>
      <c r="I3218" s="14">
        <f t="shared" si="116"/>
        <v>0.33201520000000007</v>
      </c>
      <c r="J3218" s="13">
        <f t="shared" si="117"/>
        <v>53727.76</v>
      </c>
    </row>
    <row r="3219" spans="1:10" x14ac:dyDescent="0.25">
      <c r="A3219" s="10">
        <v>40452</v>
      </c>
      <c r="B3219" s="11" t="s">
        <v>8</v>
      </c>
      <c r="C3219" s="11" t="s">
        <v>5</v>
      </c>
      <c r="D3219" s="16" t="str">
        <f>HYPERLINK("https://freddywills.com/pick/4843/utah-st-4-5.html", "Utah St +4.5")</f>
        <v>Utah St +4.5</v>
      </c>
      <c r="E3219" s="11">
        <v>4.4000000000000004</v>
      </c>
      <c r="F3219" s="11">
        <v>-1.1000000000000001</v>
      </c>
      <c r="G3219" s="11" t="s">
        <v>4</v>
      </c>
      <c r="H3219" s="13">
        <v>4000</v>
      </c>
      <c r="I3219" s="14">
        <f t="shared" si="116"/>
        <v>0.36501520000000004</v>
      </c>
      <c r="J3219" s="13">
        <f t="shared" si="117"/>
        <v>57027.76</v>
      </c>
    </row>
    <row r="3220" spans="1:10" x14ac:dyDescent="0.25">
      <c r="A3220" s="10">
        <v>40451</v>
      </c>
      <c r="B3220" s="11" t="s">
        <v>8</v>
      </c>
      <c r="C3220" s="11" t="s">
        <v>5</v>
      </c>
      <c r="D3220" s="16" t="str">
        <f>HYPERLINK("https://freddywills.com/pick/4844/tx-a-amp-m-3.html", "TX A&amp;amp;M +3")</f>
        <v>TX A&amp;amp;M +3</v>
      </c>
      <c r="E3220" s="11">
        <v>4.4000000000000004</v>
      </c>
      <c r="F3220" s="11">
        <v>-1.1000000000000001</v>
      </c>
      <c r="G3220" s="11" t="s">
        <v>9</v>
      </c>
      <c r="H3220" s="13">
        <v>0</v>
      </c>
      <c r="I3220" s="14">
        <f t="shared" si="116"/>
        <v>0.32501520000000006</v>
      </c>
      <c r="J3220" s="13">
        <f t="shared" si="117"/>
        <v>53027.76</v>
      </c>
    </row>
    <row r="3221" spans="1:10" x14ac:dyDescent="0.25">
      <c r="A3221" s="10">
        <v>40448</v>
      </c>
      <c r="B3221" s="11" t="s">
        <v>2</v>
      </c>
      <c r="C3221" s="11" t="s">
        <v>5</v>
      </c>
      <c r="D3221" s="16" t="str">
        <f>HYPERLINK("https://freddywills.com/pick/4849/bears-3-100-betonline.html", "Bears +3 +100 betonline")</f>
        <v>Bears +3 +100 betonline</v>
      </c>
      <c r="E3221" s="11">
        <v>4</v>
      </c>
      <c r="F3221" s="11">
        <v>1</v>
      </c>
      <c r="G3221" s="11" t="s">
        <v>4</v>
      </c>
      <c r="H3221" s="13">
        <v>4000</v>
      </c>
      <c r="I3221" s="14">
        <f t="shared" si="116"/>
        <v>0.32501520000000006</v>
      </c>
      <c r="J3221" s="13">
        <f t="shared" si="117"/>
        <v>53027.76</v>
      </c>
    </row>
    <row r="3222" spans="1:10" x14ac:dyDescent="0.25">
      <c r="A3222" s="10">
        <v>40447</v>
      </c>
      <c r="B3222" s="11" t="s">
        <v>2</v>
      </c>
      <c r="C3222" s="11" t="s">
        <v>5</v>
      </c>
      <c r="D3222" s="16" t="str">
        <f>HYPERLINK("https://freddywills.com/pick/4850/falcons-3-105.html", "Falcons +3 -105")</f>
        <v>Falcons +3 -105</v>
      </c>
      <c r="E3222" s="11">
        <v>3.5</v>
      </c>
      <c r="F3222" s="11">
        <v>-1.05</v>
      </c>
      <c r="G3222" s="11" t="s">
        <v>4</v>
      </c>
      <c r="H3222" s="13">
        <v>3333.33</v>
      </c>
      <c r="I3222" s="14">
        <f t="shared" si="116"/>
        <v>0.28501520000000008</v>
      </c>
      <c r="J3222" s="13">
        <f t="shared" si="117"/>
        <v>49027.76</v>
      </c>
    </row>
    <row r="3223" spans="1:10" x14ac:dyDescent="0.25">
      <c r="A3223" s="10">
        <v>40447</v>
      </c>
      <c r="B3223" s="11" t="s">
        <v>2</v>
      </c>
      <c r="C3223" s="11" t="s">
        <v>5</v>
      </c>
      <c r="D3223" s="16" t="str">
        <f>HYPERLINK("https://freddywills.com/pick/4851/titans-3.html", "Titans +3")</f>
        <v>Titans +3</v>
      </c>
      <c r="E3223" s="11">
        <v>5.5</v>
      </c>
      <c r="F3223" s="11">
        <v>-1.1000000000000001</v>
      </c>
      <c r="G3223" s="11" t="s">
        <v>4</v>
      </c>
      <c r="H3223" s="13">
        <v>5000</v>
      </c>
      <c r="I3223" s="14">
        <f t="shared" si="116"/>
        <v>0.25168190000000007</v>
      </c>
      <c r="J3223" s="13">
        <f t="shared" si="117"/>
        <v>45694.43</v>
      </c>
    </row>
    <row r="3224" spans="1:10" x14ac:dyDescent="0.25">
      <c r="A3224" s="10">
        <v>40447</v>
      </c>
      <c r="B3224" s="11" t="s">
        <v>2</v>
      </c>
      <c r="C3224" s="11" t="s">
        <v>5</v>
      </c>
      <c r="D3224" s="16" t="str">
        <f>HYPERLINK("https://freddywills.com/pick/4852/49ers-3.html", "49ers -3")</f>
        <v>49ers -3</v>
      </c>
      <c r="E3224" s="11">
        <v>3</v>
      </c>
      <c r="F3224" s="11">
        <v>-1.1000000000000001</v>
      </c>
      <c r="G3224" s="11" t="s">
        <v>6</v>
      </c>
      <c r="H3224" s="13">
        <v>-3000</v>
      </c>
      <c r="I3224" s="14">
        <f t="shared" si="116"/>
        <v>0.20168190000000005</v>
      </c>
      <c r="J3224" s="13">
        <f t="shared" si="117"/>
        <v>40694.43</v>
      </c>
    </row>
    <row r="3225" spans="1:10" x14ac:dyDescent="0.25">
      <c r="A3225" s="10">
        <v>40447</v>
      </c>
      <c r="B3225" s="11" t="s">
        <v>2</v>
      </c>
      <c r="C3225" s="11" t="s">
        <v>18</v>
      </c>
      <c r="D3225" s="16" t="str">
        <f>HYPERLINK("https://freddywills.com/pick/4853/cowboys-120.html", "Cowboys +120")</f>
        <v>Cowboys +120</v>
      </c>
      <c r="E3225" s="11">
        <v>1</v>
      </c>
      <c r="F3225" s="11">
        <v>1.2</v>
      </c>
      <c r="G3225" s="11" t="s">
        <v>4</v>
      </c>
      <c r="H3225" s="13">
        <v>1200</v>
      </c>
      <c r="I3225" s="14">
        <f t="shared" si="116"/>
        <v>0.23168190000000005</v>
      </c>
      <c r="J3225" s="13">
        <f t="shared" si="117"/>
        <v>43694.43</v>
      </c>
    </row>
    <row r="3226" spans="1:10" x14ac:dyDescent="0.25">
      <c r="A3226" s="10">
        <v>40447</v>
      </c>
      <c r="B3226" s="11" t="s">
        <v>2</v>
      </c>
      <c r="C3226" s="11" t="s">
        <v>5</v>
      </c>
      <c r="D3226" s="16" t="str">
        <f>HYPERLINK("https://freddywills.com/pick/4854/jets-3-120.html", "Jets +3 -120")</f>
        <v>Jets +3 -120</v>
      </c>
      <c r="E3226" s="11">
        <v>4</v>
      </c>
      <c r="F3226" s="11">
        <v>-1.2</v>
      </c>
      <c r="G3226" s="11" t="s">
        <v>4</v>
      </c>
      <c r="H3226" s="13">
        <v>3333.33</v>
      </c>
      <c r="I3226" s="14">
        <f t="shared" si="116"/>
        <v>0.21968190000000004</v>
      </c>
      <c r="J3226" s="13">
        <f t="shared" si="117"/>
        <v>42494.43</v>
      </c>
    </row>
    <row r="3227" spans="1:10" x14ac:dyDescent="0.25">
      <c r="A3227" s="10">
        <v>40446</v>
      </c>
      <c r="B3227" s="11" t="s">
        <v>8</v>
      </c>
      <c r="C3227" s="11" t="s">
        <v>5</v>
      </c>
      <c r="D3227" s="16" t="str">
        <f>HYPERLINK("https://freddywills.com/pick/4856/stanford-4-120.html", "Stanford -4 -120")</f>
        <v>Stanford -4 -120</v>
      </c>
      <c r="E3227" s="11">
        <v>3.5</v>
      </c>
      <c r="F3227" s="11">
        <v>-1.2</v>
      </c>
      <c r="G3227" s="11" t="s">
        <v>4</v>
      </c>
      <c r="H3227" s="13">
        <v>2916.67</v>
      </c>
      <c r="I3227" s="14">
        <f t="shared" si="116"/>
        <v>0.18634860000000003</v>
      </c>
      <c r="J3227" s="13">
        <f t="shared" si="117"/>
        <v>39161.1</v>
      </c>
    </row>
    <row r="3228" spans="1:10" x14ac:dyDescent="0.25">
      <c r="A3228" s="10">
        <v>40446</v>
      </c>
      <c r="B3228" s="11" t="s">
        <v>8</v>
      </c>
      <c r="C3228" s="11" t="s">
        <v>5</v>
      </c>
      <c r="D3228" s="16" t="str">
        <f>HYPERLINK("https://freddywills.com/pick/4857/la-tech-3-5.html", "La Tech +3.5")</f>
        <v>La Tech +3.5</v>
      </c>
      <c r="E3228" s="11">
        <v>1.1000000000000001</v>
      </c>
      <c r="F3228" s="11">
        <v>-1.1000000000000001</v>
      </c>
      <c r="G3228" s="11" t="s">
        <v>4</v>
      </c>
      <c r="H3228" s="13">
        <v>1000</v>
      </c>
      <c r="I3228" s="14">
        <f t="shared" si="116"/>
        <v>0.15718190000000004</v>
      </c>
      <c r="J3228" s="13">
        <f t="shared" si="117"/>
        <v>36244.43</v>
      </c>
    </row>
    <row r="3229" spans="1:10" x14ac:dyDescent="0.25">
      <c r="A3229" s="10">
        <v>40446</v>
      </c>
      <c r="B3229" s="11" t="s">
        <v>8</v>
      </c>
      <c r="C3229" s="11" t="s">
        <v>5</v>
      </c>
      <c r="D3229" s="16" t="str">
        <f>HYPERLINK("https://freddywills.com/pick/4858/arkansas-7-5-120.html", "Arkansas +7.5 -120")</f>
        <v>Arkansas +7.5 -120</v>
      </c>
      <c r="E3229" s="11">
        <v>2.5</v>
      </c>
      <c r="F3229" s="11">
        <v>-1.2</v>
      </c>
      <c r="G3229" s="11" t="s">
        <v>4</v>
      </c>
      <c r="H3229" s="13">
        <v>2083.33</v>
      </c>
      <c r="I3229" s="14">
        <f t="shared" si="116"/>
        <v>0.14718190000000003</v>
      </c>
      <c r="J3229" s="13">
        <f t="shared" si="117"/>
        <v>35244.43</v>
      </c>
    </row>
    <row r="3230" spans="1:10" x14ac:dyDescent="0.25">
      <c r="A3230" s="10">
        <v>40446</v>
      </c>
      <c r="B3230" s="11" t="s">
        <v>8</v>
      </c>
      <c r="C3230" s="11" t="s">
        <v>5</v>
      </c>
      <c r="D3230" s="16" t="str">
        <f>HYPERLINK("https://freddywills.com/pick/4859/nwestern-6-5.html", "Nwestern -6.5")</f>
        <v>Nwestern -6.5</v>
      </c>
      <c r="E3230" s="11">
        <v>4.4000000000000004</v>
      </c>
      <c r="F3230" s="11">
        <v>-1.1000000000000001</v>
      </c>
      <c r="G3230" s="11" t="s">
        <v>6</v>
      </c>
      <c r="H3230" s="13">
        <v>-4400</v>
      </c>
      <c r="I3230" s="14">
        <f t="shared" si="116"/>
        <v>0.12634860000000003</v>
      </c>
      <c r="J3230" s="13">
        <f t="shared" si="117"/>
        <v>33161.1</v>
      </c>
    </row>
    <row r="3231" spans="1:10" x14ac:dyDescent="0.25">
      <c r="A3231" s="10">
        <v>40446</v>
      </c>
      <c r="B3231" s="11" t="s">
        <v>8</v>
      </c>
      <c r="C3231" s="11" t="s">
        <v>5</v>
      </c>
      <c r="D3231" s="16" t="str">
        <f>HYPERLINK("https://freddywills.com/pick/4860/nc-st-8.html", "NC St +8")</f>
        <v>NC St +8</v>
      </c>
      <c r="E3231" s="11">
        <v>3.3</v>
      </c>
      <c r="F3231" s="11">
        <v>-1.1000000000000001</v>
      </c>
      <c r="G3231" s="11" t="s">
        <v>4</v>
      </c>
      <c r="H3231" s="13">
        <v>3000</v>
      </c>
      <c r="I3231" s="14">
        <f t="shared" si="116"/>
        <v>0.17034860000000002</v>
      </c>
      <c r="J3231" s="13">
        <f t="shared" si="117"/>
        <v>37561.1</v>
      </c>
    </row>
    <row r="3232" spans="1:10" x14ac:dyDescent="0.25">
      <c r="A3232" s="10">
        <v>40446</v>
      </c>
      <c r="B3232" s="11" t="s">
        <v>8</v>
      </c>
      <c r="C3232" s="11" t="s">
        <v>5</v>
      </c>
      <c r="D3232" s="16" t="str">
        <f>HYPERLINK("https://freddywills.com/pick/4861/fresno-2.html", "Fresno +2")</f>
        <v>Fresno +2</v>
      </c>
      <c r="E3232" s="11">
        <v>3.3</v>
      </c>
      <c r="F3232" s="11">
        <v>-1.1000000000000001</v>
      </c>
      <c r="G3232" s="11" t="s">
        <v>6</v>
      </c>
      <c r="H3232" s="13">
        <v>-3300</v>
      </c>
      <c r="I3232" s="14">
        <f t="shared" si="116"/>
        <v>0.14034860000000002</v>
      </c>
      <c r="J3232" s="13">
        <f t="shared" si="117"/>
        <v>34561.1</v>
      </c>
    </row>
    <row r="3233" spans="1:10" x14ac:dyDescent="0.25">
      <c r="A3233" s="10">
        <v>40446</v>
      </c>
      <c r="B3233" s="11" t="s">
        <v>8</v>
      </c>
      <c r="C3233" s="11" t="s">
        <v>5</v>
      </c>
      <c r="D3233" s="16" t="str">
        <f>HYPERLINK("https://freddywills.com/pick/4862/bc-4.html", "BC +4")</f>
        <v>BC +4</v>
      </c>
      <c r="E3233" s="11">
        <v>2.2000000000000002</v>
      </c>
      <c r="F3233" s="11">
        <v>-1.1000000000000001</v>
      </c>
      <c r="G3233" s="11" t="s">
        <v>6</v>
      </c>
      <c r="H3233" s="13">
        <v>-2200</v>
      </c>
      <c r="I3233" s="14">
        <f t="shared" si="116"/>
        <v>0.17334860000000002</v>
      </c>
      <c r="J3233" s="13">
        <f t="shared" si="117"/>
        <v>37861.1</v>
      </c>
    </row>
    <row r="3234" spans="1:10" x14ac:dyDescent="0.25">
      <c r="A3234" s="10">
        <v>40445</v>
      </c>
      <c r="B3234" s="11" t="s">
        <v>8</v>
      </c>
      <c r="C3234" s="11" t="s">
        <v>5</v>
      </c>
      <c r="D3234" s="16" t="str">
        <f>HYPERLINK("https://freddywills.com/pick/4864/smu-17-5.html", "SMU +17.5")</f>
        <v>SMU +17.5</v>
      </c>
      <c r="E3234" s="11">
        <v>4.4000000000000004</v>
      </c>
      <c r="F3234" s="11">
        <v>-1.1000000000000001</v>
      </c>
      <c r="G3234" s="11" t="s">
        <v>4</v>
      </c>
      <c r="H3234" s="13">
        <v>4000</v>
      </c>
      <c r="I3234" s="14">
        <f t="shared" si="116"/>
        <v>0.19534860000000001</v>
      </c>
      <c r="J3234" s="13">
        <f t="shared" si="117"/>
        <v>40061.1</v>
      </c>
    </row>
    <row r="3235" spans="1:10" x14ac:dyDescent="0.25">
      <c r="A3235" s="10">
        <v>40444</v>
      </c>
      <c r="B3235" s="11" t="s">
        <v>8</v>
      </c>
      <c r="C3235" s="11" t="s">
        <v>7</v>
      </c>
      <c r="D3235" s="16" t="str">
        <f>HYPERLINK("https://freddywills.com/pick/4865/mia-pit-u49.html", "MIA/PIT U49")</f>
        <v>MIA/PIT U49</v>
      </c>
      <c r="E3235" s="11">
        <v>3.3</v>
      </c>
      <c r="F3235" s="11">
        <v>-1.1000000000000001</v>
      </c>
      <c r="G3235" s="11" t="s">
        <v>4</v>
      </c>
      <c r="H3235" s="13">
        <v>3000</v>
      </c>
      <c r="I3235" s="14">
        <f t="shared" si="116"/>
        <v>0.1553486</v>
      </c>
      <c r="J3235" s="13">
        <f t="shared" si="117"/>
        <v>36061.1</v>
      </c>
    </row>
    <row r="3236" spans="1:10" x14ac:dyDescent="0.25">
      <c r="A3236" s="10">
        <v>40444</v>
      </c>
      <c r="B3236" s="11" t="s">
        <v>8</v>
      </c>
      <c r="C3236" s="11" t="s">
        <v>5</v>
      </c>
      <c r="D3236" s="16" t="str">
        <f>HYPERLINK("https://freddywills.com/pick/4866/pit-4.html", "PIT +4")</f>
        <v>PIT +4</v>
      </c>
      <c r="E3236" s="11">
        <v>2.2000000000000002</v>
      </c>
      <c r="F3236" s="11">
        <v>-1.1000000000000001</v>
      </c>
      <c r="G3236" s="11" t="s">
        <v>6</v>
      </c>
      <c r="H3236" s="13">
        <v>-2200</v>
      </c>
      <c r="I3236" s="14">
        <f t="shared" si="116"/>
        <v>0.1253486</v>
      </c>
      <c r="J3236" s="13">
        <f t="shared" si="117"/>
        <v>33061.1</v>
      </c>
    </row>
    <row r="3237" spans="1:10" x14ac:dyDescent="0.25">
      <c r="A3237" s="10">
        <v>40441</v>
      </c>
      <c r="B3237" s="11" t="s">
        <v>2</v>
      </c>
      <c r="C3237" s="11" t="s">
        <v>18</v>
      </c>
      <c r="D3237" s="16" t="str">
        <f>HYPERLINK("https://freddywills.com/pick/4873/49ers-6-120.html", "49ers +6 -120")</f>
        <v>49ers +6 -120</v>
      </c>
      <c r="E3237" s="11">
        <v>4.4000000000000004</v>
      </c>
      <c r="F3237" s="11">
        <v>-1.2</v>
      </c>
      <c r="G3237" s="11" t="s">
        <v>4</v>
      </c>
      <c r="H3237" s="13">
        <v>3666.67</v>
      </c>
      <c r="I3237" s="14">
        <f t="shared" si="116"/>
        <v>0.1473486</v>
      </c>
      <c r="J3237" s="13">
        <f t="shared" si="117"/>
        <v>35261.1</v>
      </c>
    </row>
    <row r="3238" spans="1:10" x14ac:dyDescent="0.25">
      <c r="A3238" s="10">
        <v>40441</v>
      </c>
      <c r="B3238" s="11" t="s">
        <v>2</v>
      </c>
      <c r="C3238" s="11" t="s">
        <v>7</v>
      </c>
      <c r="D3238" s="16" t="str">
        <f>HYPERLINK("https://freddywills.com/pick/4874/sf-no-u44.html", "SF/NO U44")</f>
        <v>SF/NO U44</v>
      </c>
      <c r="E3238" s="11">
        <v>1.1000000000000001</v>
      </c>
      <c r="F3238" s="11">
        <v>-1.1000000000000001</v>
      </c>
      <c r="G3238" s="11" t="s">
        <v>6</v>
      </c>
      <c r="H3238" s="13">
        <v>-1100</v>
      </c>
      <c r="I3238" s="14">
        <f t="shared" si="116"/>
        <v>0.1106819</v>
      </c>
      <c r="J3238" s="13">
        <f t="shared" si="117"/>
        <v>31594.43</v>
      </c>
    </row>
    <row r="3239" spans="1:10" x14ac:dyDescent="0.25">
      <c r="A3239" s="10">
        <v>40440</v>
      </c>
      <c r="B3239" s="11" t="s">
        <v>2</v>
      </c>
      <c r="C3239" s="11" t="s">
        <v>5</v>
      </c>
      <c r="D3239" s="16" t="str">
        <f>HYPERLINK("https://freddywills.com/pick/4875/browns-2-5.html", "Browns -2.5")</f>
        <v>Browns -2.5</v>
      </c>
      <c r="E3239" s="11">
        <v>2</v>
      </c>
      <c r="F3239" s="11">
        <v>-1.1000000000000001</v>
      </c>
      <c r="G3239" s="11" t="s">
        <v>6</v>
      </c>
      <c r="H3239" s="13">
        <v>-2000</v>
      </c>
      <c r="I3239" s="14">
        <f t="shared" ref="I3239:I3276" si="118">H3239/100000+I3240</f>
        <v>0.1216819</v>
      </c>
      <c r="J3239" s="13">
        <f t="shared" ref="J3239:J3276" si="119">H3239+J3240</f>
        <v>32694.43</v>
      </c>
    </row>
    <row r="3240" spans="1:10" x14ac:dyDescent="0.25">
      <c r="A3240" s="10">
        <v>40440</v>
      </c>
      <c r="B3240" s="11" t="s">
        <v>2</v>
      </c>
      <c r="C3240" s="11" t="s">
        <v>5</v>
      </c>
      <c r="D3240" s="16" t="str">
        <f>HYPERLINK("https://freddywills.com/pick/4876/bengals-3.html", "Bengals +3")</f>
        <v>Bengals +3</v>
      </c>
      <c r="E3240" s="11">
        <v>3.3</v>
      </c>
      <c r="F3240" s="11">
        <v>-1.1000000000000001</v>
      </c>
      <c r="G3240" s="11" t="s">
        <v>4</v>
      </c>
      <c r="H3240" s="13">
        <v>3000</v>
      </c>
      <c r="I3240" s="14">
        <f t="shared" si="118"/>
        <v>0.1416819</v>
      </c>
      <c r="J3240" s="13">
        <f t="shared" si="119"/>
        <v>34694.43</v>
      </c>
    </row>
    <row r="3241" spans="1:10" x14ac:dyDescent="0.25">
      <c r="A3241" s="10">
        <v>40440</v>
      </c>
      <c r="B3241" s="11" t="s">
        <v>2</v>
      </c>
      <c r="C3241" s="11" t="s">
        <v>5</v>
      </c>
      <c r="D3241" s="16" t="str">
        <f>HYPERLINK("https://freddywills.com/pick/4877/redskins-3.html", "Redskins +3")</f>
        <v>Redskins +3</v>
      </c>
      <c r="E3241" s="11">
        <v>4.4000000000000004</v>
      </c>
      <c r="F3241" s="11">
        <v>-1.1000000000000001</v>
      </c>
      <c r="G3241" s="11" t="s">
        <v>9</v>
      </c>
      <c r="H3241" s="13">
        <v>0</v>
      </c>
      <c r="I3241" s="14">
        <f t="shared" si="118"/>
        <v>0.1116819</v>
      </c>
      <c r="J3241" s="13">
        <f t="shared" si="119"/>
        <v>31694.43</v>
      </c>
    </row>
    <row r="3242" spans="1:10" x14ac:dyDescent="0.25">
      <c r="A3242" s="10">
        <v>40439</v>
      </c>
      <c r="B3242" s="11" t="s">
        <v>8</v>
      </c>
      <c r="C3242" s="11" t="s">
        <v>5</v>
      </c>
      <c r="D3242" s="16" t="str">
        <f>HYPERLINK("https://freddywills.com/pick/4878/army-5-5.html", "Army -5.5")</f>
        <v>Army -5.5</v>
      </c>
      <c r="E3242" s="11">
        <v>1.1000000000000001</v>
      </c>
      <c r="F3242" s="11">
        <v>-1.1000000000000001</v>
      </c>
      <c r="G3242" s="11" t="s">
        <v>4</v>
      </c>
      <c r="H3242" s="13">
        <v>1000</v>
      </c>
      <c r="I3242" s="14">
        <f t="shared" si="118"/>
        <v>0.1116819</v>
      </c>
      <c r="J3242" s="13">
        <f t="shared" si="119"/>
        <v>31694.43</v>
      </c>
    </row>
    <row r="3243" spans="1:10" x14ac:dyDescent="0.25">
      <c r="A3243" s="10">
        <v>40439</v>
      </c>
      <c r="B3243" s="11" t="s">
        <v>8</v>
      </c>
      <c r="C3243" s="11" t="s">
        <v>5</v>
      </c>
      <c r="D3243" s="16" t="str">
        <f>HYPERLINK("https://freddywills.com/pick/4879/arizona-st-11-5.html", "Arizona St +11.5")</f>
        <v>Arizona St +11.5</v>
      </c>
      <c r="E3243" s="11">
        <v>3.5</v>
      </c>
      <c r="F3243" s="11">
        <v>-1.1000000000000001</v>
      </c>
      <c r="G3243" s="11" t="s">
        <v>4</v>
      </c>
      <c r="H3243" s="13">
        <v>3181.82</v>
      </c>
      <c r="I3243" s="14">
        <f t="shared" si="118"/>
        <v>0.10168190000000001</v>
      </c>
      <c r="J3243" s="13">
        <f t="shared" si="119"/>
        <v>30694.43</v>
      </c>
    </row>
    <row r="3244" spans="1:10" x14ac:dyDescent="0.25">
      <c r="A3244" s="10">
        <v>40439</v>
      </c>
      <c r="B3244" s="11" t="s">
        <v>8</v>
      </c>
      <c r="C3244" s="11" t="s">
        <v>5</v>
      </c>
      <c r="D3244" s="16" t="str">
        <f>HYPERLINK("https://freddywills.com/pick/4880/air-force-17.html", "Air Force +17")</f>
        <v>Air Force +17</v>
      </c>
      <c r="E3244" s="11">
        <v>3.3</v>
      </c>
      <c r="F3244" s="11">
        <v>-1.1000000000000001</v>
      </c>
      <c r="G3244" s="11" t="s">
        <v>4</v>
      </c>
      <c r="H3244" s="13">
        <v>3000</v>
      </c>
      <c r="I3244" s="14">
        <f t="shared" si="118"/>
        <v>6.9863700000000001E-2</v>
      </c>
      <c r="J3244" s="13">
        <f t="shared" si="119"/>
        <v>27512.61</v>
      </c>
    </row>
    <row r="3245" spans="1:10" x14ac:dyDescent="0.25">
      <c r="A3245" s="10">
        <v>40439</v>
      </c>
      <c r="B3245" s="11" t="s">
        <v>8</v>
      </c>
      <c r="C3245" s="11" t="s">
        <v>5</v>
      </c>
      <c r="D3245" s="16" t="str">
        <f>HYPERLINK("https://freddywills.com/pick/4883/la-tech-3.html", "LA Tech +3")</f>
        <v>LA Tech +3</v>
      </c>
      <c r="E3245" s="11">
        <v>2.2000000000000002</v>
      </c>
      <c r="F3245" s="11">
        <v>-1.1000000000000001</v>
      </c>
      <c r="G3245" s="11" t="s">
        <v>6</v>
      </c>
      <c r="H3245" s="13">
        <v>-2200</v>
      </c>
      <c r="I3245" s="14">
        <f t="shared" si="118"/>
        <v>3.9863700000000009E-2</v>
      </c>
      <c r="J3245" s="13">
        <f t="shared" si="119"/>
        <v>24512.61</v>
      </c>
    </row>
    <row r="3246" spans="1:10" x14ac:dyDescent="0.25">
      <c r="A3246" s="10">
        <v>40439</v>
      </c>
      <c r="B3246" s="11" t="s">
        <v>8</v>
      </c>
      <c r="C3246" s="11" t="s">
        <v>5</v>
      </c>
      <c r="D3246" s="16" t="str">
        <f>HYPERLINK("https://freddywills.com/pick/4884/utah-st-4.html", "Utah St +4")</f>
        <v>Utah St +4</v>
      </c>
      <c r="E3246" s="11">
        <v>4.5</v>
      </c>
      <c r="F3246" s="11">
        <v>-1.1000000000000001</v>
      </c>
      <c r="G3246" s="11" t="s">
        <v>6</v>
      </c>
      <c r="H3246" s="13">
        <v>-4500</v>
      </c>
      <c r="I3246" s="14">
        <f t="shared" si="118"/>
        <v>6.1863700000000008E-2</v>
      </c>
      <c r="J3246" s="13">
        <f t="shared" si="119"/>
        <v>26712.61</v>
      </c>
    </row>
    <row r="3247" spans="1:10" x14ac:dyDescent="0.25">
      <c r="A3247" s="10">
        <v>40439</v>
      </c>
      <c r="B3247" s="11" t="s">
        <v>8</v>
      </c>
      <c r="C3247" s="11" t="s">
        <v>5</v>
      </c>
      <c r="D3247" s="16" t="str">
        <f>HYPERLINK("https://freddywills.com/pick/4885/arizona-2.html", "Arizona -2")</f>
        <v>Arizona -2</v>
      </c>
      <c r="E3247" s="11">
        <v>4.4000000000000004</v>
      </c>
      <c r="F3247" s="11">
        <v>-1.1000000000000001</v>
      </c>
      <c r="G3247" s="11" t="s">
        <v>4</v>
      </c>
      <c r="H3247" s="13">
        <v>4000</v>
      </c>
      <c r="I3247" s="14">
        <f t="shared" si="118"/>
        <v>0.10686370000000001</v>
      </c>
      <c r="J3247" s="13">
        <f t="shared" si="119"/>
        <v>31212.61</v>
      </c>
    </row>
    <row r="3248" spans="1:10" x14ac:dyDescent="0.25">
      <c r="A3248" s="10">
        <v>40438</v>
      </c>
      <c r="B3248" s="11" t="s">
        <v>8</v>
      </c>
      <c r="C3248" s="11" t="s">
        <v>5</v>
      </c>
      <c r="D3248" s="16" t="str">
        <f>HYPERLINK("https://freddywills.com/pick/4887/nevada-3.html", "Nevada +3")</f>
        <v>Nevada +3</v>
      </c>
      <c r="E3248" s="11">
        <v>4.4000000000000004</v>
      </c>
      <c r="F3248" s="11">
        <v>-1.1000000000000001</v>
      </c>
      <c r="G3248" s="11" t="s">
        <v>4</v>
      </c>
      <c r="H3248" s="13">
        <v>4000</v>
      </c>
      <c r="I3248" s="14">
        <f t="shared" si="118"/>
        <v>6.6863699999999998E-2</v>
      </c>
      <c r="J3248" s="13">
        <f t="shared" si="119"/>
        <v>27212.61</v>
      </c>
    </row>
    <row r="3249" spans="1:10" x14ac:dyDescent="0.25">
      <c r="A3249" s="10">
        <v>40437</v>
      </c>
      <c r="B3249" s="11" t="s">
        <v>8</v>
      </c>
      <c r="C3249" s="11" t="s">
        <v>5</v>
      </c>
      <c r="D3249" s="16" t="str">
        <f>HYPERLINK("https://freddywills.com/pick/4888/cinn-2.html", "Cinn +2")</f>
        <v>Cinn +2</v>
      </c>
      <c r="E3249" s="11">
        <v>4.4000000000000004</v>
      </c>
      <c r="F3249" s="11">
        <v>-1.1000000000000001</v>
      </c>
      <c r="G3249" s="11" t="s">
        <v>6</v>
      </c>
      <c r="H3249" s="13">
        <v>-4400</v>
      </c>
      <c r="I3249" s="14">
        <f t="shared" si="118"/>
        <v>2.6863700000000004E-2</v>
      </c>
      <c r="J3249" s="13">
        <f t="shared" si="119"/>
        <v>23212.61</v>
      </c>
    </row>
    <row r="3250" spans="1:10" x14ac:dyDescent="0.25">
      <c r="A3250" s="10">
        <v>40434</v>
      </c>
      <c r="B3250" s="11" t="s">
        <v>2</v>
      </c>
      <c r="C3250" s="11" t="s">
        <v>7</v>
      </c>
      <c r="D3250" s="16" t="str">
        <f>HYPERLINK("https://freddywills.com/pick/4893/nyj-bal-u36.html", "NYJ/BAL U36")</f>
        <v>NYJ/BAL U36</v>
      </c>
      <c r="E3250" s="11">
        <v>1.1000000000000001</v>
      </c>
      <c r="F3250" s="11">
        <v>-1.1000000000000001</v>
      </c>
      <c r="G3250" s="11" t="s">
        <v>4</v>
      </c>
      <c r="H3250" s="13">
        <v>1000</v>
      </c>
      <c r="I3250" s="14">
        <f t="shared" si="118"/>
        <v>7.0863700000000002E-2</v>
      </c>
      <c r="J3250" s="13">
        <f t="shared" si="119"/>
        <v>27612.61</v>
      </c>
    </row>
    <row r="3251" spans="1:10" x14ac:dyDescent="0.25">
      <c r="A3251" s="10">
        <v>40434</v>
      </c>
      <c r="B3251" s="11" t="s">
        <v>2</v>
      </c>
      <c r="C3251" s="11" t="s">
        <v>5</v>
      </c>
      <c r="D3251" s="16" t="str">
        <f>HYPERLINK("https://freddywills.com/pick/4894/chiefs-4-5.html", "Chiefs +4.5")</f>
        <v>Chiefs +4.5</v>
      </c>
      <c r="E3251" s="11">
        <v>4.4000000000000004</v>
      </c>
      <c r="F3251" s="11">
        <v>-1.1000000000000001</v>
      </c>
      <c r="G3251" s="11" t="s">
        <v>4</v>
      </c>
      <c r="H3251" s="13">
        <v>4000</v>
      </c>
      <c r="I3251" s="14">
        <f t="shared" si="118"/>
        <v>6.0863700000000007E-2</v>
      </c>
      <c r="J3251" s="13">
        <f t="shared" si="119"/>
        <v>26612.61</v>
      </c>
    </row>
    <row r="3252" spans="1:10" x14ac:dyDescent="0.25">
      <c r="A3252" s="10">
        <v>40434</v>
      </c>
      <c r="B3252" s="11" t="s">
        <v>2</v>
      </c>
      <c r="C3252" s="11" t="s">
        <v>18</v>
      </c>
      <c r="D3252" s="16" t="str">
        <f>HYPERLINK("https://freddywills.com/pick/4895/rockies-150.html", "Rockies -150")</f>
        <v>Rockies -150</v>
      </c>
      <c r="E3252" s="11">
        <v>4</v>
      </c>
      <c r="F3252" s="11">
        <v>-1.5</v>
      </c>
      <c r="G3252" s="11" t="s">
        <v>6</v>
      </c>
      <c r="H3252" s="13">
        <v>-4000</v>
      </c>
      <c r="I3252" s="14">
        <f t="shared" si="118"/>
        <v>2.0863700000000006E-2</v>
      </c>
      <c r="J3252" s="13">
        <f t="shared" si="119"/>
        <v>22612.61</v>
      </c>
    </row>
    <row r="3253" spans="1:10" x14ac:dyDescent="0.25">
      <c r="A3253" s="10">
        <v>40433</v>
      </c>
      <c r="B3253" s="11" t="s">
        <v>2</v>
      </c>
      <c r="C3253" s="11" t="s">
        <v>5</v>
      </c>
      <c r="D3253" s="16" t="str">
        <f>HYPERLINK("https://freddywills.com/pick/4896/texans-2.html", "Texans +2")</f>
        <v>Texans +2</v>
      </c>
      <c r="E3253" s="11">
        <v>2.2000000000000002</v>
      </c>
      <c r="F3253" s="11">
        <v>-1.1000000000000001</v>
      </c>
      <c r="G3253" s="11" t="s">
        <v>4</v>
      </c>
      <c r="H3253" s="13">
        <v>2000</v>
      </c>
      <c r="I3253" s="14">
        <f t="shared" si="118"/>
        <v>6.0863700000000007E-2</v>
      </c>
      <c r="J3253" s="13">
        <f t="shared" si="119"/>
        <v>26612.61</v>
      </c>
    </row>
    <row r="3254" spans="1:10" x14ac:dyDescent="0.25">
      <c r="A3254" s="10">
        <v>40433</v>
      </c>
      <c r="B3254" s="11" t="s">
        <v>2</v>
      </c>
      <c r="C3254" s="11" t="s">
        <v>5</v>
      </c>
      <c r="D3254" s="16" t="str">
        <f>HYPERLINK("https://freddywills.com/pick/4897/bucs-2-5.html", "Bucs -2.5")</f>
        <v>Bucs -2.5</v>
      </c>
      <c r="E3254" s="11">
        <v>4.4000000000000004</v>
      </c>
      <c r="F3254" s="11">
        <v>-1.1000000000000001</v>
      </c>
      <c r="G3254" s="11" t="s">
        <v>4</v>
      </c>
      <c r="H3254" s="13">
        <v>4000</v>
      </c>
      <c r="I3254" s="14">
        <f t="shared" si="118"/>
        <v>4.0863700000000003E-2</v>
      </c>
      <c r="J3254" s="13">
        <f t="shared" si="119"/>
        <v>24612.61</v>
      </c>
    </row>
    <row r="3255" spans="1:10" x14ac:dyDescent="0.25">
      <c r="A3255" s="10">
        <v>40433</v>
      </c>
      <c r="B3255" s="11" t="s">
        <v>2</v>
      </c>
      <c r="C3255" s="11" t="s">
        <v>5</v>
      </c>
      <c r="D3255" s="16" t="str">
        <f>HYPERLINK("https://freddywills.com/pick/4899/redskins-3-5.html", "Redskins +3.5")</f>
        <v>Redskins +3.5</v>
      </c>
      <c r="E3255" s="11">
        <v>3.5</v>
      </c>
      <c r="F3255" s="11">
        <v>-1.1000000000000001</v>
      </c>
      <c r="G3255" s="11" t="s">
        <v>4</v>
      </c>
      <c r="H3255" s="13">
        <v>3181.82</v>
      </c>
      <c r="I3255" s="14">
        <f t="shared" si="118"/>
        <v>8.6370000000000197E-4</v>
      </c>
      <c r="J3255" s="13">
        <f t="shared" si="119"/>
        <v>20612.61</v>
      </c>
    </row>
    <row r="3256" spans="1:10" x14ac:dyDescent="0.25">
      <c r="A3256" s="10">
        <v>40432</v>
      </c>
      <c r="B3256" s="11" t="s">
        <v>8</v>
      </c>
      <c r="C3256" s="11" t="s">
        <v>5</v>
      </c>
      <c r="D3256" s="16" t="str">
        <f>HYPERLINK("https://freddywills.com/pick/4900/nc-state-3.html", "NC State +3")</f>
        <v>NC State +3</v>
      </c>
      <c r="E3256" s="11">
        <v>4.4000000000000004</v>
      </c>
      <c r="F3256" s="11">
        <v>-1.1000000000000001</v>
      </c>
      <c r="G3256" s="11" t="s">
        <v>4</v>
      </c>
      <c r="H3256" s="13">
        <v>4000</v>
      </c>
      <c r="I3256" s="14">
        <f t="shared" si="118"/>
        <v>-3.0954500000000003E-2</v>
      </c>
      <c r="J3256" s="13">
        <f t="shared" si="119"/>
        <v>17430.79</v>
      </c>
    </row>
    <row r="3257" spans="1:10" x14ac:dyDescent="0.25">
      <c r="A3257" s="10">
        <v>40432</v>
      </c>
      <c r="B3257" s="11" t="s">
        <v>8</v>
      </c>
      <c r="C3257" s="11" t="s">
        <v>5</v>
      </c>
      <c r="D3257" s="16" t="str">
        <f>HYPERLINK("https://freddywills.com/pick/4901/michigan-3-5.html", "Michigan +3.5")</f>
        <v>Michigan +3.5</v>
      </c>
      <c r="E3257" s="11">
        <v>1.1000000000000001</v>
      </c>
      <c r="F3257" s="11">
        <v>-1.1000000000000001</v>
      </c>
      <c r="G3257" s="11" t="s">
        <v>4</v>
      </c>
      <c r="H3257" s="13">
        <v>1000</v>
      </c>
      <c r="I3257" s="14">
        <f t="shared" si="118"/>
        <v>-7.0954500000000004E-2</v>
      </c>
      <c r="J3257" s="13">
        <f t="shared" si="119"/>
        <v>13430.79</v>
      </c>
    </row>
    <row r="3258" spans="1:10" x14ac:dyDescent="0.25">
      <c r="A3258" s="10">
        <v>40432</v>
      </c>
      <c r="B3258" s="11" t="s">
        <v>8</v>
      </c>
      <c r="C3258" s="11" t="s">
        <v>18</v>
      </c>
      <c r="D3258" s="16" t="str">
        <f>HYPERLINK("https://freddywills.com/pick/4902/wyoming-28.html", "Wyoming +28")</f>
        <v>Wyoming +28</v>
      </c>
      <c r="E3258" s="11">
        <v>3</v>
      </c>
      <c r="F3258" s="11">
        <v>-1.1000000000000001</v>
      </c>
      <c r="G3258" s="11" t="s">
        <v>4</v>
      </c>
      <c r="H3258" s="13">
        <v>2727.27</v>
      </c>
      <c r="I3258" s="14">
        <f t="shared" si="118"/>
        <v>-8.0954499999999999E-2</v>
      </c>
      <c r="J3258" s="13">
        <f t="shared" si="119"/>
        <v>12430.79</v>
      </c>
    </row>
    <row r="3259" spans="1:10" x14ac:dyDescent="0.25">
      <c r="A3259" s="10">
        <v>40432</v>
      </c>
      <c r="B3259" s="11" t="s">
        <v>8</v>
      </c>
      <c r="C3259" s="11" t="s">
        <v>5</v>
      </c>
      <c r="D3259" s="16" t="str">
        <f>HYPERLINK("https://freddywills.com/pick/4903/air-force-1.html", "Air Force -1")</f>
        <v>Air Force -1</v>
      </c>
      <c r="E3259" s="11">
        <v>3.3</v>
      </c>
      <c r="F3259" s="11">
        <v>-1.1000000000000001</v>
      </c>
      <c r="G3259" s="11" t="s">
        <v>4</v>
      </c>
      <c r="H3259" s="13">
        <v>3000</v>
      </c>
      <c r="I3259" s="14">
        <f t="shared" si="118"/>
        <v>-0.1082272</v>
      </c>
      <c r="J3259" s="13">
        <f t="shared" si="119"/>
        <v>9703.52</v>
      </c>
    </row>
    <row r="3260" spans="1:10" x14ac:dyDescent="0.25">
      <c r="A3260" s="10">
        <v>40432</v>
      </c>
      <c r="B3260" s="11" t="s">
        <v>8</v>
      </c>
      <c r="C3260" s="11" t="s">
        <v>5</v>
      </c>
      <c r="D3260" s="16" t="str">
        <f>HYPERLINK("https://freddywills.com/pick/4904/tennessee-12.html", "Tennessee +12")</f>
        <v>Tennessee +12</v>
      </c>
      <c r="E3260" s="11">
        <v>2</v>
      </c>
      <c r="F3260" s="11">
        <v>-1.1000000000000001</v>
      </c>
      <c r="G3260" s="11" t="s">
        <v>6</v>
      </c>
      <c r="H3260" s="13">
        <v>-2000</v>
      </c>
      <c r="I3260" s="14">
        <f t="shared" si="118"/>
        <v>-0.13822719999999999</v>
      </c>
      <c r="J3260" s="13">
        <f t="shared" si="119"/>
        <v>6703.52</v>
      </c>
    </row>
    <row r="3261" spans="1:10" x14ac:dyDescent="0.25">
      <c r="A3261" s="10">
        <v>40432</v>
      </c>
      <c r="B3261" s="11" t="s">
        <v>8</v>
      </c>
      <c r="C3261" s="11" t="s">
        <v>5</v>
      </c>
      <c r="D3261" s="16" t="str">
        <f>HYPERLINK("https://freddywills.com/pick/4905/kent-state-17-5.html", "Kent State +17.5")</f>
        <v>Kent State +17.5</v>
      </c>
      <c r="E3261" s="11">
        <v>2.2000000000000002</v>
      </c>
      <c r="F3261" s="11">
        <v>-1.1000000000000001</v>
      </c>
      <c r="G3261" s="11" t="s">
        <v>4</v>
      </c>
      <c r="H3261" s="13">
        <v>2000</v>
      </c>
      <c r="I3261" s="14">
        <f t="shared" si="118"/>
        <v>-0.11822719999999999</v>
      </c>
      <c r="J3261" s="13">
        <f t="shared" si="119"/>
        <v>8703.52</v>
      </c>
    </row>
    <row r="3262" spans="1:10" x14ac:dyDescent="0.25">
      <c r="A3262" s="10">
        <v>40431</v>
      </c>
      <c r="B3262" s="11" t="s">
        <v>8</v>
      </c>
      <c r="C3262" s="11" t="s">
        <v>5</v>
      </c>
      <c r="D3262" s="16" t="str">
        <f>HYPERLINK("https://freddywills.com/pick/4909/houston-20.html", "Houston -20")</f>
        <v>Houston -20</v>
      </c>
      <c r="E3262" s="11">
        <v>2.5</v>
      </c>
      <c r="F3262" s="11">
        <v>-1.1000000000000001</v>
      </c>
      <c r="G3262" s="11" t="s">
        <v>4</v>
      </c>
      <c r="H3262" s="13">
        <v>2272.73</v>
      </c>
      <c r="I3262" s="14">
        <f t="shared" si="118"/>
        <v>-0.13822719999999999</v>
      </c>
      <c r="J3262" s="13">
        <f t="shared" si="119"/>
        <v>6703.52</v>
      </c>
    </row>
    <row r="3263" spans="1:10" x14ac:dyDescent="0.25">
      <c r="A3263" s="10">
        <v>40430</v>
      </c>
      <c r="B3263" s="11" t="s">
        <v>8</v>
      </c>
      <c r="C3263" s="11" t="s">
        <v>5</v>
      </c>
      <c r="D3263" s="16" t="str">
        <f>HYPERLINK("https://freddywills.com/pick/4910/miss-state-2.html", "Miss State +2")</f>
        <v>Miss State +2</v>
      </c>
      <c r="E3263" s="11">
        <v>4.4000000000000004</v>
      </c>
      <c r="F3263" s="11">
        <v>-1.1000000000000001</v>
      </c>
      <c r="G3263" s="11" t="s">
        <v>6</v>
      </c>
      <c r="H3263" s="13">
        <v>-4400</v>
      </c>
      <c r="I3263" s="14">
        <f t="shared" si="118"/>
        <v>-0.1609545</v>
      </c>
      <c r="J3263" s="13">
        <f t="shared" si="119"/>
        <v>4430.7900000000009</v>
      </c>
    </row>
    <row r="3264" spans="1:10" x14ac:dyDescent="0.25">
      <c r="A3264" s="10">
        <v>40430</v>
      </c>
      <c r="B3264" s="11" t="s">
        <v>2</v>
      </c>
      <c r="C3264" s="11" t="s">
        <v>5</v>
      </c>
      <c r="D3264" s="16" t="str">
        <f>HYPERLINK("https://freddywills.com/pick/4911/vikings-6.html", "Vikings +6")</f>
        <v>Vikings +6</v>
      </c>
      <c r="E3264" s="11">
        <v>3.3</v>
      </c>
      <c r="F3264" s="11">
        <v>-1.1000000000000001</v>
      </c>
      <c r="G3264" s="11" t="s">
        <v>4</v>
      </c>
      <c r="H3264" s="13">
        <v>3000</v>
      </c>
      <c r="I3264" s="14">
        <f t="shared" si="118"/>
        <v>-0.11695449999999999</v>
      </c>
      <c r="J3264" s="13">
        <f t="shared" si="119"/>
        <v>8830.7900000000009</v>
      </c>
    </row>
    <row r="3265" spans="1:10" x14ac:dyDescent="0.25">
      <c r="A3265" s="10">
        <v>40427</v>
      </c>
      <c r="B3265" s="11" t="s">
        <v>8</v>
      </c>
      <c r="C3265" s="11" t="s">
        <v>18</v>
      </c>
      <c r="D3265" s="16" t="str">
        <f>HYPERLINK("https://freddywills.com/pick/4918/vtech-105.html", "Vtech +105")</f>
        <v>Vtech +105</v>
      </c>
      <c r="E3265" s="11">
        <v>4.5</v>
      </c>
      <c r="F3265" s="11">
        <v>1.05</v>
      </c>
      <c r="G3265" s="11" t="s">
        <v>6</v>
      </c>
      <c r="H3265" s="13">
        <v>-4500</v>
      </c>
      <c r="I3265" s="14">
        <f t="shared" si="118"/>
        <v>-0.14695449999999999</v>
      </c>
      <c r="J3265" s="13">
        <f t="shared" si="119"/>
        <v>5830.7900000000009</v>
      </c>
    </row>
    <row r="3266" spans="1:10" x14ac:dyDescent="0.25">
      <c r="A3266" s="10">
        <v>40427</v>
      </c>
      <c r="B3266" s="11" t="s">
        <v>8</v>
      </c>
      <c r="C3266" s="11" t="s">
        <v>18</v>
      </c>
      <c r="D3266" s="16" t="str">
        <f>HYPERLINK("https://freddywills.com/pick/4919/vtech-3-2h.html", "Vtech -3 2H")</f>
        <v>Vtech -3 2H</v>
      </c>
      <c r="E3266" s="11">
        <v>2</v>
      </c>
      <c r="F3266" s="11">
        <v>-1.1000000000000001</v>
      </c>
      <c r="G3266" s="11" t="s">
        <v>9</v>
      </c>
      <c r="H3266" s="13">
        <v>0</v>
      </c>
      <c r="I3266" s="14">
        <f t="shared" si="118"/>
        <v>-0.10195449999999998</v>
      </c>
      <c r="J3266" s="13">
        <f t="shared" si="119"/>
        <v>10330.790000000001</v>
      </c>
    </row>
    <row r="3267" spans="1:10" x14ac:dyDescent="0.25">
      <c r="A3267" s="10">
        <v>40427</v>
      </c>
      <c r="B3267" s="11" t="s">
        <v>8</v>
      </c>
      <c r="C3267" s="11" t="s">
        <v>18</v>
      </c>
      <c r="D3267" s="16" t="str">
        <f>HYPERLINK("https://freddywills.com/pick/4920/mary-7-120.html", "Mary +7 -120")</f>
        <v>Mary +7 -120</v>
      </c>
      <c r="E3267" s="11">
        <v>1.5</v>
      </c>
      <c r="F3267" s="11">
        <v>-1.2</v>
      </c>
      <c r="G3267" s="11" t="s">
        <v>4</v>
      </c>
      <c r="H3267" s="13">
        <v>1250</v>
      </c>
      <c r="I3267" s="14">
        <f t="shared" si="118"/>
        <v>-0.10195449999999998</v>
      </c>
      <c r="J3267" s="13">
        <f t="shared" si="119"/>
        <v>10330.790000000001</v>
      </c>
    </row>
    <row r="3268" spans="1:10" x14ac:dyDescent="0.25">
      <c r="A3268" s="10">
        <v>40426</v>
      </c>
      <c r="B3268" s="11" t="s">
        <v>8</v>
      </c>
      <c r="C3268" s="11" t="s">
        <v>5</v>
      </c>
      <c r="D3268" s="16" t="str">
        <f>HYPERLINK("https://freddywills.com/pick/4921/east-carolina-7-5.html", "East Carolina +7.5")</f>
        <v>East Carolina +7.5</v>
      </c>
      <c r="E3268" s="11">
        <v>3.5</v>
      </c>
      <c r="F3268" s="11">
        <v>-1.1000000000000001</v>
      </c>
      <c r="G3268" s="11" t="s">
        <v>4</v>
      </c>
      <c r="H3268" s="13">
        <v>3181.82</v>
      </c>
      <c r="I3268" s="14">
        <f t="shared" si="118"/>
        <v>-0.11445449999999997</v>
      </c>
      <c r="J3268" s="13">
        <f t="shared" si="119"/>
        <v>9080.7900000000009</v>
      </c>
    </row>
    <row r="3269" spans="1:10" x14ac:dyDescent="0.25">
      <c r="A3269" s="10">
        <v>40425</v>
      </c>
      <c r="B3269" s="11" t="s">
        <v>8</v>
      </c>
      <c r="C3269" s="11" t="s">
        <v>5</v>
      </c>
      <c r="D3269" s="16" t="str">
        <f>HYPERLINK("https://freddywills.com/pick/4923/col-state-11-amp-ml.html", "Col State +11 &amp;amp; ML")</f>
        <v>Col State +11 &amp;amp; ML</v>
      </c>
      <c r="E3269" s="11">
        <v>1.6</v>
      </c>
      <c r="F3269" s="11">
        <v>-1.1000000000000001</v>
      </c>
      <c r="G3269" s="11" t="s">
        <v>6</v>
      </c>
      <c r="H3269" s="13">
        <v>-1600</v>
      </c>
      <c r="I3269" s="14">
        <f t="shared" si="118"/>
        <v>-0.14627269999999998</v>
      </c>
      <c r="J3269" s="13">
        <f t="shared" si="119"/>
        <v>5898.9700000000012</v>
      </c>
    </row>
    <row r="3270" spans="1:10" x14ac:dyDescent="0.25">
      <c r="A3270" s="10">
        <v>40425</v>
      </c>
      <c r="B3270" s="11" t="s">
        <v>8</v>
      </c>
      <c r="C3270" s="11" t="s">
        <v>5</v>
      </c>
      <c r="D3270" s="16" t="str">
        <f>HYPERLINK("https://freddywills.com/pick/4924/uconn-3.html", "Uconn +3")</f>
        <v>Uconn +3</v>
      </c>
      <c r="E3270" s="11">
        <v>3.3</v>
      </c>
      <c r="F3270" s="11">
        <v>-1.1000000000000001</v>
      </c>
      <c r="G3270" s="11" t="s">
        <v>6</v>
      </c>
      <c r="H3270" s="13">
        <v>-3300</v>
      </c>
      <c r="I3270" s="14">
        <f t="shared" si="118"/>
        <v>-0.13027269999999999</v>
      </c>
      <c r="J3270" s="13">
        <f t="shared" si="119"/>
        <v>7498.9700000000012</v>
      </c>
    </row>
    <row r="3271" spans="1:10" x14ac:dyDescent="0.25">
      <c r="A3271" s="10">
        <v>40425</v>
      </c>
      <c r="B3271" s="11" t="s">
        <v>8</v>
      </c>
      <c r="C3271" s="11" t="s">
        <v>5</v>
      </c>
      <c r="D3271" s="16" t="str">
        <f>HYPERLINK("https://freddywills.com/pick/4925/purdue-10-5.html", "Purdue +10.5")</f>
        <v>Purdue +10.5</v>
      </c>
      <c r="E3271" s="11">
        <v>2.2000000000000002</v>
      </c>
      <c r="F3271" s="11">
        <v>-1.1000000000000001</v>
      </c>
      <c r="G3271" s="11" t="s">
        <v>6</v>
      </c>
      <c r="H3271" s="13">
        <v>-2200</v>
      </c>
      <c r="I3271" s="14">
        <f t="shared" si="118"/>
        <v>-9.727269999999999E-2</v>
      </c>
      <c r="J3271" s="13">
        <f t="shared" si="119"/>
        <v>10798.970000000001</v>
      </c>
    </row>
    <row r="3272" spans="1:10" x14ac:dyDescent="0.25">
      <c r="A3272" s="10">
        <v>40425</v>
      </c>
      <c r="B3272" s="11" t="s">
        <v>8</v>
      </c>
      <c r="C3272" s="11" t="s">
        <v>5</v>
      </c>
      <c r="D3272" s="16" t="str">
        <f>HYPERLINK("https://freddywills.com/pick/4926/oregon-state-13.html", "Oregon State +13")</f>
        <v>Oregon State +13</v>
      </c>
      <c r="E3272" s="11">
        <v>4.4000000000000004</v>
      </c>
      <c r="F3272" s="11">
        <v>-1.1000000000000001</v>
      </c>
      <c r="G3272" s="11" t="s">
        <v>4</v>
      </c>
      <c r="H3272" s="13">
        <v>4000</v>
      </c>
      <c r="I3272" s="14">
        <f t="shared" si="118"/>
        <v>-7.5272699999999998E-2</v>
      </c>
      <c r="J3272" s="13">
        <f t="shared" si="119"/>
        <v>12998.970000000001</v>
      </c>
    </row>
    <row r="3273" spans="1:10" x14ac:dyDescent="0.25">
      <c r="A3273" s="10">
        <v>40424</v>
      </c>
      <c r="B3273" s="11" t="s">
        <v>8</v>
      </c>
      <c r="C3273" s="11" t="s">
        <v>5</v>
      </c>
      <c r="D3273" s="16" t="str">
        <f>HYPERLINK("https://freddywills.com/pick/4928/arizona-16-5.html", "Arizona -16.5")</f>
        <v>Arizona -16.5</v>
      </c>
      <c r="E3273" s="11">
        <v>2.5</v>
      </c>
      <c r="F3273" s="11">
        <v>-1.1000000000000001</v>
      </c>
      <c r="G3273" s="11" t="s">
        <v>4</v>
      </c>
      <c r="H3273" s="13">
        <v>2272.73</v>
      </c>
      <c r="I3273" s="14">
        <f t="shared" si="118"/>
        <v>-0.11527270000000001</v>
      </c>
      <c r="J3273" s="13">
        <f t="shared" si="119"/>
        <v>8998.9700000000012</v>
      </c>
    </row>
    <row r="3274" spans="1:10" x14ac:dyDescent="0.25">
      <c r="A3274" s="10">
        <v>40423</v>
      </c>
      <c r="B3274" s="11" t="s">
        <v>8</v>
      </c>
      <c r="C3274" s="11" t="s">
        <v>5</v>
      </c>
      <c r="D3274" s="16" t="str">
        <f>HYPERLINK("https://freddywills.com/pick/4933/mtsu-2-5.html", "MTSU +2.5")</f>
        <v>MTSU +2.5</v>
      </c>
      <c r="E3274" s="11">
        <v>4.4000000000000004</v>
      </c>
      <c r="F3274" s="11">
        <v>-1.1000000000000001</v>
      </c>
      <c r="G3274" s="11" t="s">
        <v>6</v>
      </c>
      <c r="H3274" s="13">
        <v>-4400</v>
      </c>
      <c r="I3274" s="14">
        <f t="shared" si="118"/>
        <v>-0.13800000000000001</v>
      </c>
      <c r="J3274" s="13">
        <f t="shared" si="119"/>
        <v>6726.2400000000016</v>
      </c>
    </row>
    <row r="3275" spans="1:10" x14ac:dyDescent="0.25">
      <c r="A3275" s="10">
        <v>40423</v>
      </c>
      <c r="B3275" s="11" t="s">
        <v>8</v>
      </c>
      <c r="C3275" s="11" t="s">
        <v>7</v>
      </c>
      <c r="D3275" s="16" t="str">
        <f>HYPERLINK("https://freddywills.com/pick/4934/pit-utah-u49-5.html", "PIT/UTAH U49.5")</f>
        <v>PIT/UTAH U49.5</v>
      </c>
      <c r="E3275" s="11">
        <v>1.1000000000000001</v>
      </c>
      <c r="F3275" s="11">
        <v>-1.1000000000000001</v>
      </c>
      <c r="G3275" s="11" t="s">
        <v>6</v>
      </c>
      <c r="H3275" s="13">
        <v>-1100</v>
      </c>
      <c r="I3275" s="14">
        <f t="shared" si="118"/>
        <v>-9.4E-2</v>
      </c>
      <c r="J3275" s="13">
        <f t="shared" si="119"/>
        <v>11126.240000000002</v>
      </c>
    </row>
    <row r="3276" spans="1:10" x14ac:dyDescent="0.25">
      <c r="A3276" s="10">
        <v>40417</v>
      </c>
      <c r="B3276" s="11" t="s">
        <v>2</v>
      </c>
      <c r="C3276" s="11" t="s">
        <v>5</v>
      </c>
      <c r="D3276" s="16" t="str">
        <f>HYPERLINK("https://freddywills.com/pick/4942/jets-5-5.html", "Jets -5.5")</f>
        <v>Jets -5.5</v>
      </c>
      <c r="E3276" s="11">
        <v>4</v>
      </c>
      <c r="F3276" s="11">
        <v>-1.1000000000000001</v>
      </c>
      <c r="G3276" s="11" t="s">
        <v>6</v>
      </c>
      <c r="H3276" s="13">
        <v>-4000</v>
      </c>
      <c r="I3276" s="14">
        <f t="shared" si="118"/>
        <v>-8.3000000000000004E-2</v>
      </c>
      <c r="J3276" s="13">
        <f t="shared" si="119"/>
        <v>12226.240000000002</v>
      </c>
    </row>
    <row r="3277" spans="1:10" x14ac:dyDescent="0.25">
      <c r="A3277" s="10">
        <v>40409</v>
      </c>
      <c r="B3277" s="11" t="s">
        <v>2</v>
      </c>
      <c r="C3277" s="11" t="s">
        <v>5</v>
      </c>
      <c r="D3277" s="16" t="str">
        <f>HYPERLINK("https://freddywills.com/pick/4958/falcons-2-5.html", "Falcons -2.5")</f>
        <v>Falcons -2.5</v>
      </c>
      <c r="E3277" s="11">
        <v>4</v>
      </c>
      <c r="F3277" s="11">
        <v>-1.1000000000000001</v>
      </c>
      <c r="G3277" s="11" t="s">
        <v>6</v>
      </c>
      <c r="H3277" s="13">
        <v>-4000</v>
      </c>
      <c r="I3277" s="14">
        <f>H3277/100000+I3278</f>
        <v>-4.3000000000000003E-2</v>
      </c>
      <c r="J3277" s="13">
        <f>H3277+J3278</f>
        <v>16226.240000000002</v>
      </c>
    </row>
    <row r="3278" spans="1:10" x14ac:dyDescent="0.25">
      <c r="A3278" s="10">
        <v>40403</v>
      </c>
      <c r="B3278" s="11" t="s">
        <v>2</v>
      </c>
      <c r="C3278" s="11" t="s">
        <v>5</v>
      </c>
      <c r="D3278" s="16" t="str">
        <f>HYPERLINK("https://freddywills.com/pick/4970/chiefs-3.html", "Chiefs +3")</f>
        <v>Chiefs +3</v>
      </c>
      <c r="E3278" s="11">
        <v>3.3</v>
      </c>
      <c r="F3278" s="11">
        <v>-1.1000000000000001</v>
      </c>
      <c r="G3278" s="11" t="s">
        <v>6</v>
      </c>
      <c r="H3278" s="13">
        <v>-3300</v>
      </c>
      <c r="I3278" s="14">
        <f>H3278/100000+I3279</f>
        <v>-3.0000000000000027E-3</v>
      </c>
      <c r="J3278" s="13">
        <f>H3278+J3279</f>
        <v>20226.240000000002</v>
      </c>
    </row>
    <row r="3279" spans="1:10" x14ac:dyDescent="0.25">
      <c r="A3279" s="10">
        <v>40402</v>
      </c>
      <c r="B3279" s="11" t="s">
        <v>2</v>
      </c>
      <c r="C3279" s="11" t="s">
        <v>5</v>
      </c>
      <c r="D3279" s="16" t="str">
        <f>HYPERLINK("https://freddywills.com/pick/4971/raiders-3-5.html", "Raiders +3.5")</f>
        <v>Raiders +3.5</v>
      </c>
      <c r="E3279" s="11">
        <v>3.3</v>
      </c>
      <c r="F3279" s="11">
        <v>-1.1000000000000001</v>
      </c>
      <c r="G3279" s="11" t="s">
        <v>4</v>
      </c>
      <c r="H3279" s="13">
        <v>3000</v>
      </c>
      <c r="I3279" s="20">
        <f>H3279/100000</f>
        <v>0.03</v>
      </c>
      <c r="J3279" s="13">
        <f>J3282+H3279</f>
        <v>23526.240000000002</v>
      </c>
    </row>
    <row r="3280" spans="1:10" x14ac:dyDescent="0.25">
      <c r="A3280" s="17" t="s">
        <v>22</v>
      </c>
      <c r="B3280" s="18"/>
      <c r="C3280" s="18"/>
      <c r="D3280" s="18"/>
      <c r="E3280" s="18"/>
      <c r="F3280" s="18"/>
      <c r="G3280" s="18"/>
      <c r="H3280" s="18"/>
      <c r="I3280" s="19">
        <v>100000</v>
      </c>
      <c r="J3280" s="17"/>
    </row>
    <row r="3281" spans="1:10" x14ac:dyDescent="0.25">
      <c r="A3281" s="8" t="s">
        <v>23</v>
      </c>
      <c r="B3281" s="9"/>
      <c r="C3281" s="9"/>
      <c r="D3281" s="9"/>
      <c r="E3281" s="9"/>
      <c r="F3281" s="9"/>
      <c r="G3281" s="9"/>
      <c r="H3281" s="9"/>
      <c r="I3281" s="9"/>
      <c r="J3281" s="9"/>
    </row>
    <row r="3282" spans="1:10" x14ac:dyDescent="0.25">
      <c r="A3282" s="10">
        <v>40216</v>
      </c>
      <c r="B3282" s="11" t="s">
        <v>2</v>
      </c>
      <c r="C3282" s="11" t="s">
        <v>5</v>
      </c>
      <c r="D3282" s="16" t="str">
        <f>HYPERLINK("https://freddywills.com/pick/5489/colts-4-5.html", "Colts -4.5")</f>
        <v>Colts -4.5</v>
      </c>
      <c r="E3282" s="11">
        <v>5.5</v>
      </c>
      <c r="F3282" s="11">
        <v>-1.1000000000000001</v>
      </c>
      <c r="G3282" s="11" t="s">
        <v>6</v>
      </c>
      <c r="H3282" s="13">
        <v>-5500</v>
      </c>
      <c r="I3282" s="20">
        <f t="shared" ref="I3282:I3345" si="120">(H3282/100000)+I3283</f>
        <v>0.20526239999999996</v>
      </c>
      <c r="J3282" s="13">
        <f t="shared" ref="J3282:J3345" si="121">J3283+H3282</f>
        <v>20526.240000000002</v>
      </c>
    </row>
    <row r="3283" spans="1:10" x14ac:dyDescent="0.25">
      <c r="A3283" s="10">
        <v>40216</v>
      </c>
      <c r="B3283" s="11" t="s">
        <v>2</v>
      </c>
      <c r="C3283" s="11" t="s">
        <v>3</v>
      </c>
      <c r="D3283" s="16" t="str">
        <f>HYPERLINK("https://freddywills.com/pick/5491/under-3-5-sacks.html", "Under 3.5 Sacks")</f>
        <v>Under 3.5 Sacks</v>
      </c>
      <c r="E3283" s="11">
        <v>1.1000000000000001</v>
      </c>
      <c r="F3283" s="11">
        <v>-1.1000000000000001</v>
      </c>
      <c r="G3283" s="11" t="s">
        <v>4</v>
      </c>
      <c r="H3283" s="13">
        <v>1000</v>
      </c>
      <c r="I3283" s="20">
        <f t="shared" si="120"/>
        <v>0.26026239999999995</v>
      </c>
      <c r="J3283" s="13">
        <f t="shared" si="121"/>
        <v>26026.240000000002</v>
      </c>
    </row>
    <row r="3284" spans="1:10" x14ac:dyDescent="0.25">
      <c r="A3284" s="10">
        <v>40216</v>
      </c>
      <c r="B3284" s="11" t="s">
        <v>2</v>
      </c>
      <c r="C3284" s="11" t="s">
        <v>3</v>
      </c>
      <c r="D3284" s="16" t="str">
        <f>HYPERLINK("https://freddywills.com/pick/5492/clark-1st-td-500.html", "Clark 1st TD +500")</f>
        <v>Clark 1st TD +500</v>
      </c>
      <c r="E3284" s="11">
        <v>1</v>
      </c>
      <c r="F3284" s="11">
        <v>-1.1000000000000001</v>
      </c>
      <c r="G3284" s="11" t="s">
        <v>6</v>
      </c>
      <c r="H3284" s="13">
        <v>-1000</v>
      </c>
      <c r="I3284" s="20">
        <f t="shared" si="120"/>
        <v>0.25026239999999994</v>
      </c>
      <c r="J3284" s="13">
        <f t="shared" si="121"/>
        <v>25026.240000000002</v>
      </c>
    </row>
    <row r="3285" spans="1:10" x14ac:dyDescent="0.25">
      <c r="A3285" s="10">
        <v>40216</v>
      </c>
      <c r="B3285" s="11" t="s">
        <v>2</v>
      </c>
      <c r="C3285" s="11" t="s">
        <v>3</v>
      </c>
      <c r="D3285" s="16" t="str">
        <f>HYPERLINK("https://freddywills.com/pick/5493/regie-bush-td-150.html", "Regie Bush TD? +150")</f>
        <v>Regie Bush TD? +150</v>
      </c>
      <c r="E3285" s="11">
        <v>1</v>
      </c>
      <c r="F3285" s="11">
        <v>-1.1000000000000001</v>
      </c>
      <c r="G3285" s="11" t="s">
        <v>6</v>
      </c>
      <c r="H3285" s="13">
        <v>-1000</v>
      </c>
      <c r="I3285" s="20">
        <f t="shared" si="120"/>
        <v>0.26026239999999995</v>
      </c>
      <c r="J3285" s="13">
        <f t="shared" si="121"/>
        <v>26026.240000000002</v>
      </c>
    </row>
    <row r="3286" spans="1:10" x14ac:dyDescent="0.25">
      <c r="A3286" s="10">
        <v>40216</v>
      </c>
      <c r="B3286" s="11" t="s">
        <v>2</v>
      </c>
      <c r="C3286" s="11" t="s">
        <v>3</v>
      </c>
      <c r="D3286" s="16" t="str">
        <f>HYPERLINK("https://freddywills.com/pick/5494/indy-score-every-q.html", "Indy score every Q")</f>
        <v>Indy score every Q</v>
      </c>
      <c r="E3286" s="11">
        <v>1</v>
      </c>
      <c r="F3286" s="11">
        <v>-1.1000000000000001</v>
      </c>
      <c r="G3286" s="11" t="s">
        <v>6</v>
      </c>
      <c r="H3286" s="13">
        <v>-1000</v>
      </c>
      <c r="I3286" s="20">
        <f t="shared" si="120"/>
        <v>0.27026239999999996</v>
      </c>
      <c r="J3286" s="13">
        <f t="shared" si="121"/>
        <v>27026.240000000002</v>
      </c>
    </row>
    <row r="3287" spans="1:10" x14ac:dyDescent="0.25">
      <c r="A3287" s="10">
        <v>40216</v>
      </c>
      <c r="B3287" s="11" t="s">
        <v>2</v>
      </c>
      <c r="C3287" s="11" t="s">
        <v>7</v>
      </c>
      <c r="D3287" s="16" t="str">
        <f>HYPERLINK("https://freddywills.com/pick/5495/ind-no-u56-5.html", "IND/NO U56.5")</f>
        <v>IND/NO U56.5</v>
      </c>
      <c r="E3287" s="11">
        <v>2.5</v>
      </c>
      <c r="F3287" s="11">
        <v>-1.1000000000000001</v>
      </c>
      <c r="G3287" s="11" t="s">
        <v>4</v>
      </c>
      <c r="H3287" s="13">
        <v>2272.73</v>
      </c>
      <c r="I3287" s="20">
        <f t="shared" si="120"/>
        <v>0.28026239999999997</v>
      </c>
      <c r="J3287" s="13">
        <f t="shared" si="121"/>
        <v>28026.240000000002</v>
      </c>
    </row>
    <row r="3288" spans="1:10" x14ac:dyDescent="0.25">
      <c r="A3288" s="10">
        <v>40202</v>
      </c>
      <c r="B3288" s="11" t="s">
        <v>2</v>
      </c>
      <c r="C3288" s="11" t="s">
        <v>5</v>
      </c>
      <c r="D3288" s="16" t="str">
        <f>HYPERLINK("https://freddywills.com/pick/5539/vikings-3-5.html", "Vikings +3.5")</f>
        <v>Vikings +3.5</v>
      </c>
      <c r="E3288" s="11">
        <v>3.5</v>
      </c>
      <c r="F3288" s="11">
        <v>-1.1000000000000001</v>
      </c>
      <c r="G3288" s="11" t="s">
        <v>4</v>
      </c>
      <c r="H3288" s="13">
        <v>3181.82</v>
      </c>
      <c r="I3288" s="20">
        <f t="shared" si="120"/>
        <v>0.25753509999999996</v>
      </c>
      <c r="J3288" s="13">
        <f t="shared" si="121"/>
        <v>25753.510000000002</v>
      </c>
    </row>
    <row r="3289" spans="1:10" x14ac:dyDescent="0.25">
      <c r="A3289" s="10">
        <v>40194</v>
      </c>
      <c r="B3289" s="11" t="s">
        <v>2</v>
      </c>
      <c r="C3289" s="11" t="s">
        <v>5</v>
      </c>
      <c r="D3289" s="16" t="str">
        <f>HYPERLINK("https://freddywills.com/pick/5558/cardinals-7.html", "Cardinals +7")</f>
        <v>Cardinals +7</v>
      </c>
      <c r="E3289" s="11">
        <v>4.5</v>
      </c>
      <c r="F3289" s="11">
        <v>-1.1000000000000001</v>
      </c>
      <c r="G3289" s="11" t="s">
        <v>6</v>
      </c>
      <c r="H3289" s="13">
        <v>-4500</v>
      </c>
      <c r="I3289" s="20">
        <f t="shared" si="120"/>
        <v>0.22571689999999994</v>
      </c>
      <c r="J3289" s="13">
        <f t="shared" si="121"/>
        <v>22571.690000000002</v>
      </c>
    </row>
    <row r="3290" spans="1:10" x14ac:dyDescent="0.25">
      <c r="A3290" s="10">
        <v>40194</v>
      </c>
      <c r="B3290" s="11" t="s">
        <v>2</v>
      </c>
      <c r="C3290" s="11" t="s">
        <v>5</v>
      </c>
      <c r="D3290" s="16" t="str">
        <f>HYPERLINK("https://freddywills.com/pick/5559/ravens-7.html", "Ravens +7")</f>
        <v>Ravens +7</v>
      </c>
      <c r="E3290" s="11">
        <v>4</v>
      </c>
      <c r="F3290" s="11">
        <v>-1.1000000000000001</v>
      </c>
      <c r="G3290" s="11" t="s">
        <v>6</v>
      </c>
      <c r="H3290" s="13">
        <v>-4000</v>
      </c>
      <c r="I3290" s="20">
        <f t="shared" si="120"/>
        <v>0.27071689999999993</v>
      </c>
      <c r="J3290" s="13">
        <f t="shared" si="121"/>
        <v>27071.690000000002</v>
      </c>
    </row>
    <row r="3291" spans="1:10" x14ac:dyDescent="0.25">
      <c r="A3291" s="10">
        <v>40188</v>
      </c>
      <c r="B3291" s="11" t="s">
        <v>2</v>
      </c>
      <c r="C3291" s="11" t="s">
        <v>5</v>
      </c>
      <c r="D3291" s="16" t="str">
        <f>HYPERLINK("https://freddywills.com/pick/5573/packers-1-5.html", "Packers -1.5")</f>
        <v>Packers -1.5</v>
      </c>
      <c r="E3291" s="11">
        <v>4.4000000000000004</v>
      </c>
      <c r="F3291" s="11">
        <v>-1.1000000000000001</v>
      </c>
      <c r="G3291" s="11" t="s">
        <v>6</v>
      </c>
      <c r="H3291" s="13">
        <v>-4400</v>
      </c>
      <c r="I3291" s="20">
        <f t="shared" si="120"/>
        <v>0.31071689999999991</v>
      </c>
      <c r="J3291" s="13">
        <f t="shared" si="121"/>
        <v>31071.690000000002</v>
      </c>
    </row>
    <row r="3292" spans="1:10" x14ac:dyDescent="0.25">
      <c r="A3292" s="10">
        <v>40188</v>
      </c>
      <c r="B3292" s="11" t="s">
        <v>2</v>
      </c>
      <c r="C3292" s="11" t="s">
        <v>5</v>
      </c>
      <c r="D3292" s="16" t="str">
        <f>HYPERLINK("https://freddywills.com/pick/5574/ravens-4.html", "Ravens +4")</f>
        <v>Ravens +4</v>
      </c>
      <c r="E3292" s="11">
        <v>3.5</v>
      </c>
      <c r="F3292" s="11">
        <v>-1.1000000000000001</v>
      </c>
      <c r="G3292" s="11" t="s">
        <v>4</v>
      </c>
      <c r="H3292" s="13">
        <v>3181.82</v>
      </c>
      <c r="I3292" s="20">
        <f t="shared" si="120"/>
        <v>0.35471689999999989</v>
      </c>
      <c r="J3292" s="13">
        <f t="shared" si="121"/>
        <v>35471.69</v>
      </c>
    </row>
    <row r="3293" spans="1:10" x14ac:dyDescent="0.25">
      <c r="A3293" s="10">
        <v>40187</v>
      </c>
      <c r="B3293" s="11" t="s">
        <v>2</v>
      </c>
      <c r="C3293" s="11" t="s">
        <v>10</v>
      </c>
      <c r="D3293" s="16" t="str">
        <f>HYPERLINK("https://freddywills.com/pick/5576/jets-8-5-u40.html", "Jets+8.5 U40")</f>
        <v>Jets+8.5 U40</v>
      </c>
      <c r="E3293" s="11">
        <v>3.5</v>
      </c>
      <c r="F3293" s="11">
        <v>-1.1000000000000001</v>
      </c>
      <c r="G3293" s="11" t="s">
        <v>4</v>
      </c>
      <c r="H3293" s="13">
        <v>3181.82</v>
      </c>
      <c r="I3293" s="20">
        <f t="shared" si="120"/>
        <v>0.32289869999999987</v>
      </c>
      <c r="J3293" s="13">
        <f t="shared" si="121"/>
        <v>32289.870000000003</v>
      </c>
    </row>
    <row r="3294" spans="1:10" x14ac:dyDescent="0.25">
      <c r="A3294" s="10">
        <v>40187</v>
      </c>
      <c r="B3294" s="11" t="s">
        <v>2</v>
      </c>
      <c r="C3294" s="11" t="s">
        <v>5</v>
      </c>
      <c r="D3294" s="16" t="str">
        <f>HYPERLINK("https://freddywills.com/pick/5580/eagles-4.html", "Eagles +4")</f>
        <v>Eagles +4</v>
      </c>
      <c r="E3294" s="11">
        <v>4.5</v>
      </c>
      <c r="F3294" s="11">
        <v>-1.1000000000000001</v>
      </c>
      <c r="G3294" s="11" t="s">
        <v>6</v>
      </c>
      <c r="H3294" s="13">
        <v>-4500</v>
      </c>
      <c r="I3294" s="20">
        <f t="shared" si="120"/>
        <v>0.29108049999999985</v>
      </c>
      <c r="J3294" s="13">
        <f t="shared" si="121"/>
        <v>29108.050000000003</v>
      </c>
    </row>
    <row r="3295" spans="1:10" x14ac:dyDescent="0.25">
      <c r="A3295" s="10">
        <v>40185</v>
      </c>
      <c r="B3295" s="11" t="s">
        <v>8</v>
      </c>
      <c r="C3295" s="11" t="s">
        <v>7</v>
      </c>
      <c r="D3295" s="16" t="str">
        <f>HYPERLINK("https://freddywills.com/pick/5581/ala-tex-u46.html", "ALA/TEX U46")</f>
        <v>ALA/TEX U46</v>
      </c>
      <c r="E3295" s="11">
        <v>2</v>
      </c>
      <c r="F3295" s="11">
        <v>-1.1000000000000001</v>
      </c>
      <c r="G3295" s="11" t="s">
        <v>6</v>
      </c>
      <c r="H3295" s="13">
        <v>-2000</v>
      </c>
      <c r="I3295" s="20">
        <f t="shared" si="120"/>
        <v>0.33608049999999984</v>
      </c>
      <c r="J3295" s="13">
        <f t="shared" si="121"/>
        <v>33608.050000000003</v>
      </c>
    </row>
    <row r="3296" spans="1:10" x14ac:dyDescent="0.25">
      <c r="A3296" s="10">
        <v>40185</v>
      </c>
      <c r="B3296" s="11" t="s">
        <v>8</v>
      </c>
      <c r="C3296" s="11" t="s">
        <v>5</v>
      </c>
      <c r="D3296" s="16" t="str">
        <f>HYPERLINK("https://freddywills.com/pick/5582/alabama-4.html", "Alabama -4")</f>
        <v>Alabama -4</v>
      </c>
      <c r="E3296" s="11">
        <v>4.5</v>
      </c>
      <c r="F3296" s="11">
        <v>-1.1000000000000001</v>
      </c>
      <c r="G3296" s="11" t="s">
        <v>4</v>
      </c>
      <c r="H3296" s="13">
        <v>4090.91</v>
      </c>
      <c r="I3296" s="20">
        <f t="shared" si="120"/>
        <v>0.35608049999999986</v>
      </c>
      <c r="J3296" s="13">
        <f t="shared" si="121"/>
        <v>35608.050000000003</v>
      </c>
    </row>
    <row r="3297" spans="1:10" x14ac:dyDescent="0.25">
      <c r="A3297" s="10">
        <v>40185</v>
      </c>
      <c r="B3297" s="11" t="s">
        <v>8</v>
      </c>
      <c r="C3297" s="11" t="s">
        <v>3</v>
      </c>
      <c r="D3297" s="16" t="str">
        <f>HYPERLINK("https://freddywills.com/pick/5583/prop-package-1-3.html", "Prop Package 1-3")</f>
        <v>Prop Package 1-3</v>
      </c>
      <c r="E3297" s="11">
        <v>5</v>
      </c>
      <c r="F3297" s="11">
        <v>-1.1000000000000001</v>
      </c>
      <c r="G3297" s="11" t="s">
        <v>6</v>
      </c>
      <c r="H3297" s="13">
        <v>-2200</v>
      </c>
      <c r="I3297" s="20">
        <f t="shared" si="120"/>
        <v>0.31517139999999988</v>
      </c>
      <c r="J3297" s="13">
        <f t="shared" si="121"/>
        <v>31517.14</v>
      </c>
    </row>
    <row r="3298" spans="1:10" x14ac:dyDescent="0.25">
      <c r="A3298" s="10">
        <v>40184</v>
      </c>
      <c r="B3298" s="11" t="s">
        <v>8</v>
      </c>
      <c r="C3298" s="11" t="s">
        <v>5</v>
      </c>
      <c r="D3298" s="16" t="str">
        <f>HYPERLINK("https://freddywills.com/pick/5585/troy-3.html", "Troy +3")</f>
        <v>Troy +3</v>
      </c>
      <c r="E3298" s="11">
        <v>4</v>
      </c>
      <c r="F3298" s="11">
        <v>-1.1000000000000001</v>
      </c>
      <c r="G3298" s="11" t="s">
        <v>9</v>
      </c>
      <c r="H3298" s="13">
        <v>0</v>
      </c>
      <c r="I3298" s="20">
        <f t="shared" si="120"/>
        <v>0.3371713999999999</v>
      </c>
      <c r="J3298" s="13">
        <f t="shared" si="121"/>
        <v>33717.14</v>
      </c>
    </row>
    <row r="3299" spans="1:10" x14ac:dyDescent="0.25">
      <c r="A3299" s="10">
        <v>40183</v>
      </c>
      <c r="B3299" s="11" t="s">
        <v>8</v>
      </c>
      <c r="C3299" s="11" t="s">
        <v>5</v>
      </c>
      <c r="D3299" s="16" t="str">
        <f>HYPERLINK("https://freddywills.com/pick/5588/iowa-5-5.html", "Iowa +5.5")</f>
        <v>Iowa +5.5</v>
      </c>
      <c r="E3299" s="11">
        <v>4.4000000000000004</v>
      </c>
      <c r="F3299" s="11">
        <v>-1.1000000000000001</v>
      </c>
      <c r="G3299" s="11" t="s">
        <v>4</v>
      </c>
      <c r="H3299" s="13">
        <v>4000</v>
      </c>
      <c r="I3299" s="20">
        <f t="shared" si="120"/>
        <v>0.3371713999999999</v>
      </c>
      <c r="J3299" s="13">
        <f t="shared" si="121"/>
        <v>33717.14</v>
      </c>
    </row>
    <row r="3300" spans="1:10" x14ac:dyDescent="0.25">
      <c r="A3300" s="10">
        <v>40183</v>
      </c>
      <c r="B3300" s="11" t="s">
        <v>8</v>
      </c>
      <c r="C3300" s="11" t="s">
        <v>7</v>
      </c>
      <c r="D3300" s="16" t="str">
        <f>HYPERLINK("https://freddywills.com/pick/5589/ia-gt-u51.html", "IA/GT U51")</f>
        <v>IA/GT U51</v>
      </c>
      <c r="E3300" s="11">
        <v>1.5</v>
      </c>
      <c r="F3300" s="11">
        <v>-1.1000000000000001</v>
      </c>
      <c r="G3300" s="11" t="s">
        <v>4</v>
      </c>
      <c r="H3300" s="13">
        <v>1363.64</v>
      </c>
      <c r="I3300" s="20">
        <f t="shared" si="120"/>
        <v>0.29717139999999992</v>
      </c>
      <c r="J3300" s="13">
        <f t="shared" si="121"/>
        <v>29717.14</v>
      </c>
    </row>
    <row r="3301" spans="1:10" x14ac:dyDescent="0.25">
      <c r="A3301" s="10">
        <v>40182</v>
      </c>
      <c r="B3301" s="11" t="s">
        <v>8</v>
      </c>
      <c r="C3301" s="11" t="s">
        <v>5</v>
      </c>
      <c r="D3301" s="16" t="str">
        <f>HYPERLINK("https://freddywills.com/pick/5592/tcu-7.html", "TCU -7")</f>
        <v>TCU -7</v>
      </c>
      <c r="E3301" s="11">
        <v>4.5</v>
      </c>
      <c r="F3301" s="11">
        <v>-1.1000000000000001</v>
      </c>
      <c r="G3301" s="11" t="s">
        <v>6</v>
      </c>
      <c r="H3301" s="13">
        <v>-4500</v>
      </c>
      <c r="I3301" s="20">
        <f t="shared" si="120"/>
        <v>0.28353499999999993</v>
      </c>
      <c r="J3301" s="13">
        <f t="shared" si="121"/>
        <v>28353.5</v>
      </c>
    </row>
    <row r="3302" spans="1:10" x14ac:dyDescent="0.25">
      <c r="A3302" s="10">
        <v>40181</v>
      </c>
      <c r="B3302" s="11" t="s">
        <v>2</v>
      </c>
      <c r="C3302" s="11" t="s">
        <v>5</v>
      </c>
      <c r="D3302" s="16" t="str">
        <f>HYPERLINK("https://freddywills.com/pick/5593/cowboys-3-100.html", "Cowboys -3 +100")</f>
        <v>Cowboys -3 +100</v>
      </c>
      <c r="E3302" s="11">
        <v>3.5</v>
      </c>
      <c r="F3302" s="11">
        <v>1</v>
      </c>
      <c r="G3302" s="11" t="s">
        <v>4</v>
      </c>
      <c r="H3302" s="13">
        <v>3500</v>
      </c>
      <c r="I3302" s="20">
        <f t="shared" si="120"/>
        <v>0.32853499999999991</v>
      </c>
      <c r="J3302" s="13">
        <f t="shared" si="121"/>
        <v>32853.5</v>
      </c>
    </row>
    <row r="3303" spans="1:10" x14ac:dyDescent="0.25">
      <c r="A3303" s="10">
        <v>40181</v>
      </c>
      <c r="B3303" s="11" t="s">
        <v>2</v>
      </c>
      <c r="C3303" s="11" t="s">
        <v>5</v>
      </c>
      <c r="D3303" s="16" t="str">
        <f>HYPERLINK("https://freddywills.com/pick/5594/dolphins-3.html", "Dolphins +3")</f>
        <v>Dolphins +3</v>
      </c>
      <c r="E3303" s="11">
        <v>4</v>
      </c>
      <c r="F3303" s="11">
        <v>-1.1000000000000001</v>
      </c>
      <c r="G3303" s="11" t="s">
        <v>6</v>
      </c>
      <c r="H3303" s="13">
        <v>-4000</v>
      </c>
      <c r="I3303" s="20">
        <f t="shared" si="120"/>
        <v>0.29353499999999993</v>
      </c>
      <c r="J3303" s="13">
        <f t="shared" si="121"/>
        <v>29353.5</v>
      </c>
    </row>
    <row r="3304" spans="1:10" x14ac:dyDescent="0.25">
      <c r="A3304" s="10">
        <v>40180</v>
      </c>
      <c r="B3304" s="11" t="s">
        <v>8</v>
      </c>
      <c r="C3304" s="11" t="s">
        <v>5</v>
      </c>
      <c r="D3304" s="16" t="str">
        <f>HYPERLINK("https://freddywills.com/pick/5596/south-florida-7-103.html", "South Florida -7 +103")</f>
        <v>South Florida -7 +103</v>
      </c>
      <c r="E3304" s="11">
        <v>3.5</v>
      </c>
      <c r="F3304" s="11">
        <v>1.03</v>
      </c>
      <c r="G3304" s="11" t="s">
        <v>4</v>
      </c>
      <c r="H3304" s="13">
        <v>3605</v>
      </c>
      <c r="I3304" s="20">
        <f t="shared" si="120"/>
        <v>0.33353499999999991</v>
      </c>
      <c r="J3304" s="13">
        <f t="shared" si="121"/>
        <v>33353.5</v>
      </c>
    </row>
    <row r="3305" spans="1:10" x14ac:dyDescent="0.25">
      <c r="A3305" s="10">
        <v>40180</v>
      </c>
      <c r="B3305" s="11" t="s">
        <v>8</v>
      </c>
      <c r="C3305" s="11" t="s">
        <v>5</v>
      </c>
      <c r="D3305" s="16" t="str">
        <f>HYPERLINK("https://freddywills.com/pick/5597/miss-3.html", "Miss -3")</f>
        <v>Miss -3</v>
      </c>
      <c r="E3305" s="11">
        <v>4.5</v>
      </c>
      <c r="F3305" s="11">
        <v>-1.1000000000000001</v>
      </c>
      <c r="G3305" s="11" t="s">
        <v>4</v>
      </c>
      <c r="H3305" s="13">
        <v>4090.91</v>
      </c>
      <c r="I3305" s="20">
        <f t="shared" si="120"/>
        <v>0.29748499999999994</v>
      </c>
      <c r="J3305" s="13">
        <f t="shared" si="121"/>
        <v>29748.499999999996</v>
      </c>
    </row>
    <row r="3306" spans="1:10" x14ac:dyDescent="0.25">
      <c r="A3306" s="10">
        <v>40180</v>
      </c>
      <c r="B3306" s="11" t="s">
        <v>8</v>
      </c>
      <c r="C3306" s="11" t="s">
        <v>5</v>
      </c>
      <c r="D3306" s="16" t="str">
        <f>HYPERLINK("https://freddywills.com/pick/5598/arkansas-7.html", "Arkansas -7")</f>
        <v>Arkansas -7</v>
      </c>
      <c r="E3306" s="11">
        <v>3.3</v>
      </c>
      <c r="F3306" s="11">
        <v>-1.1000000000000001</v>
      </c>
      <c r="G3306" s="11" t="s">
        <v>6</v>
      </c>
      <c r="H3306" s="13">
        <v>-3300</v>
      </c>
      <c r="I3306" s="20">
        <f t="shared" si="120"/>
        <v>0.25657589999999997</v>
      </c>
      <c r="J3306" s="13">
        <f t="shared" si="121"/>
        <v>25657.589999999997</v>
      </c>
    </row>
    <row r="3307" spans="1:10" x14ac:dyDescent="0.25">
      <c r="A3307" s="10">
        <v>40180</v>
      </c>
      <c r="B3307" s="11" t="s">
        <v>8</v>
      </c>
      <c r="C3307" s="11" t="s">
        <v>5</v>
      </c>
      <c r="D3307" s="16" t="str">
        <f>HYPERLINK("https://freddywills.com/pick/5599/mich-st-8-5.html", "Mich St +8.5")</f>
        <v>Mich St +8.5</v>
      </c>
      <c r="E3307" s="11">
        <v>3.5</v>
      </c>
      <c r="F3307" s="11">
        <v>-1.1000000000000001</v>
      </c>
      <c r="G3307" s="11" t="s">
        <v>6</v>
      </c>
      <c r="H3307" s="13">
        <v>-3500</v>
      </c>
      <c r="I3307" s="20">
        <f t="shared" si="120"/>
        <v>0.2895759</v>
      </c>
      <c r="J3307" s="13">
        <f t="shared" si="121"/>
        <v>28957.589999999997</v>
      </c>
    </row>
    <row r="3308" spans="1:10" x14ac:dyDescent="0.25">
      <c r="A3308" s="10">
        <v>40179</v>
      </c>
      <c r="B3308" s="11" t="s">
        <v>8</v>
      </c>
      <c r="C3308" s="11" t="s">
        <v>18</v>
      </c>
      <c r="D3308" s="16" t="str">
        <f>HYPERLINK("https://freddywills.com/pick/5600/iowa-state-120.html", "Iowa State +120")</f>
        <v>Iowa State +120</v>
      </c>
      <c r="E3308" s="11">
        <v>1</v>
      </c>
      <c r="F3308" s="11">
        <v>1.2</v>
      </c>
      <c r="G3308" s="11" t="s">
        <v>4</v>
      </c>
      <c r="H3308" s="13">
        <v>1200</v>
      </c>
      <c r="I3308" s="20">
        <f t="shared" si="120"/>
        <v>0.32457590000000003</v>
      </c>
      <c r="J3308" s="13">
        <f t="shared" si="121"/>
        <v>32457.589999999997</v>
      </c>
    </row>
    <row r="3309" spans="1:10" x14ac:dyDescent="0.25">
      <c r="A3309" s="10">
        <v>40179</v>
      </c>
      <c r="B3309" s="11" t="s">
        <v>8</v>
      </c>
      <c r="C3309" s="11" t="s">
        <v>5</v>
      </c>
      <c r="D3309" s="16" t="str">
        <f>HYPERLINK("https://freddywills.com/pick/5602/oklahoma-10.html", "Oklahoma -10")</f>
        <v>Oklahoma -10</v>
      </c>
      <c r="E3309" s="11">
        <v>5</v>
      </c>
      <c r="F3309" s="11">
        <v>-1.1000000000000001</v>
      </c>
      <c r="G3309" s="11" t="s">
        <v>6</v>
      </c>
      <c r="H3309" s="13">
        <v>-5000</v>
      </c>
      <c r="I3309" s="20">
        <f t="shared" si="120"/>
        <v>0.31257590000000002</v>
      </c>
      <c r="J3309" s="13">
        <f t="shared" si="121"/>
        <v>31257.589999999997</v>
      </c>
    </row>
    <row r="3310" spans="1:10" x14ac:dyDescent="0.25">
      <c r="A3310" s="10">
        <v>40179</v>
      </c>
      <c r="B3310" s="11" t="s">
        <v>8</v>
      </c>
      <c r="C3310" s="11" t="s">
        <v>5</v>
      </c>
      <c r="D3310" s="16" t="str">
        <f>HYPERLINK("https://freddywills.com/pick/5603/tenn-6.html", "Tenn +6")</f>
        <v>Tenn +6</v>
      </c>
      <c r="E3310" s="11">
        <v>4.5</v>
      </c>
      <c r="F3310" s="11">
        <v>-1.1000000000000001</v>
      </c>
      <c r="G3310" s="11" t="s">
        <v>6</v>
      </c>
      <c r="H3310" s="13">
        <v>-4500</v>
      </c>
      <c r="I3310" s="20">
        <f t="shared" si="120"/>
        <v>0.36257590000000001</v>
      </c>
      <c r="J3310" s="13">
        <f t="shared" si="121"/>
        <v>36257.589999999997</v>
      </c>
    </row>
    <row r="3311" spans="1:10" x14ac:dyDescent="0.25">
      <c r="A3311" s="10">
        <v>40179</v>
      </c>
      <c r="B3311" s="11" t="s">
        <v>8</v>
      </c>
      <c r="C3311" s="11" t="s">
        <v>5</v>
      </c>
      <c r="D3311" s="16" t="str">
        <f>HYPERLINK("https://freddywills.com/pick/5604/lsu-3-120.html", "LSU +3 -120")</f>
        <v>LSU +3 -120</v>
      </c>
      <c r="E3311" s="11">
        <v>4.4000000000000004</v>
      </c>
      <c r="F3311" s="11">
        <v>-1.2</v>
      </c>
      <c r="G3311" s="11" t="s">
        <v>4</v>
      </c>
      <c r="H3311" s="13">
        <v>3666.67</v>
      </c>
      <c r="I3311" s="20">
        <f t="shared" si="120"/>
        <v>0.40757589999999999</v>
      </c>
      <c r="J3311" s="13">
        <f t="shared" si="121"/>
        <v>40757.589999999997</v>
      </c>
    </row>
    <row r="3312" spans="1:10" x14ac:dyDescent="0.25">
      <c r="A3312" s="10">
        <v>40179</v>
      </c>
      <c r="B3312" s="11" t="s">
        <v>8</v>
      </c>
      <c r="C3312" s="11" t="s">
        <v>5</v>
      </c>
      <c r="D3312" s="16" t="str">
        <f>HYPERLINK("https://freddywills.com/pick/5605/west-virginia-2-5.html", "West Virginia -2.5")</f>
        <v>West Virginia -2.5</v>
      </c>
      <c r="E3312" s="11">
        <v>2.5</v>
      </c>
      <c r="F3312" s="11">
        <v>-1.1000000000000001</v>
      </c>
      <c r="G3312" s="11" t="s">
        <v>6</v>
      </c>
      <c r="H3312" s="13">
        <v>-2500</v>
      </c>
      <c r="I3312" s="20">
        <f t="shared" si="120"/>
        <v>0.37090919999999999</v>
      </c>
      <c r="J3312" s="13">
        <f t="shared" si="121"/>
        <v>37090.92</v>
      </c>
    </row>
    <row r="3313" spans="1:10" x14ac:dyDescent="0.25">
      <c r="A3313" s="10">
        <v>40179</v>
      </c>
      <c r="B3313" s="11" t="s">
        <v>8</v>
      </c>
      <c r="C3313" s="11" t="s">
        <v>5</v>
      </c>
      <c r="D3313" s="16" t="str">
        <f>HYPERLINK("https://freddywills.com/pick/5606/northwestern-8-5.html", "Northwestern +8.5")</f>
        <v>Northwestern +8.5</v>
      </c>
      <c r="E3313" s="11">
        <v>4.5</v>
      </c>
      <c r="F3313" s="11">
        <v>-1.1000000000000001</v>
      </c>
      <c r="G3313" s="11" t="s">
        <v>4</v>
      </c>
      <c r="H3313" s="13">
        <v>4090.91</v>
      </c>
      <c r="I3313" s="20">
        <f t="shared" si="120"/>
        <v>0.39590920000000002</v>
      </c>
      <c r="J3313" s="13">
        <f t="shared" si="121"/>
        <v>39590.92</v>
      </c>
    </row>
    <row r="3314" spans="1:10" x14ac:dyDescent="0.25">
      <c r="A3314" s="10">
        <v>40179</v>
      </c>
      <c r="B3314" s="11" t="s">
        <v>8</v>
      </c>
      <c r="C3314" s="11" t="s">
        <v>5</v>
      </c>
      <c r="D3314" s="16" t="str">
        <f>HYPERLINK("https://freddywills.com/pick/5607/ohio-state-4.html", "Ohio State +4")</f>
        <v>Ohio State +4</v>
      </c>
      <c r="E3314" s="11">
        <v>3.5</v>
      </c>
      <c r="F3314" s="11">
        <v>-1.1000000000000001</v>
      </c>
      <c r="G3314" s="11" t="s">
        <v>4</v>
      </c>
      <c r="H3314" s="13">
        <v>3181.82</v>
      </c>
      <c r="I3314" s="20">
        <f t="shared" si="120"/>
        <v>0.35500010000000004</v>
      </c>
      <c r="J3314" s="13">
        <f t="shared" si="121"/>
        <v>35500.01</v>
      </c>
    </row>
    <row r="3315" spans="1:10" x14ac:dyDescent="0.25">
      <c r="A3315" s="10">
        <v>40179</v>
      </c>
      <c r="B3315" s="11" t="s">
        <v>8</v>
      </c>
      <c r="C3315" s="11" t="s">
        <v>18</v>
      </c>
      <c r="D3315" s="16" t="str">
        <f>HYPERLINK("https://freddywills.com/pick/5608/tenn-200.html", "Tenn +200")</f>
        <v>Tenn +200</v>
      </c>
      <c r="E3315" s="11">
        <v>1</v>
      </c>
      <c r="F3315" s="11">
        <v>2</v>
      </c>
      <c r="G3315" s="11" t="s">
        <v>6</v>
      </c>
      <c r="H3315" s="13">
        <v>-1000</v>
      </c>
      <c r="I3315" s="20">
        <f t="shared" si="120"/>
        <v>0.32318190000000002</v>
      </c>
      <c r="J3315" s="13">
        <f t="shared" si="121"/>
        <v>32318.190000000002</v>
      </c>
    </row>
    <row r="3316" spans="1:10" x14ac:dyDescent="0.25">
      <c r="A3316" s="10">
        <v>40178</v>
      </c>
      <c r="B3316" s="11" t="s">
        <v>8</v>
      </c>
      <c r="C3316" s="11" t="s">
        <v>5</v>
      </c>
      <c r="D3316" s="16" t="str">
        <f>HYPERLINK("https://freddywills.com/pick/5609/air-force-5.html", "Air force +5")</f>
        <v>Air force +5</v>
      </c>
      <c r="E3316" s="11">
        <v>3.3</v>
      </c>
      <c r="F3316" s="11">
        <v>-1.1000000000000001</v>
      </c>
      <c r="G3316" s="11" t="s">
        <v>4</v>
      </c>
      <c r="H3316" s="13">
        <v>3000</v>
      </c>
      <c r="I3316" s="20">
        <f t="shared" si="120"/>
        <v>0.33318190000000003</v>
      </c>
      <c r="J3316" s="13">
        <f t="shared" si="121"/>
        <v>33318.19</v>
      </c>
    </row>
    <row r="3317" spans="1:10" x14ac:dyDescent="0.25">
      <c r="A3317" s="10">
        <v>40177</v>
      </c>
      <c r="B3317" s="11" t="s">
        <v>8</v>
      </c>
      <c r="C3317" s="11" t="s">
        <v>5</v>
      </c>
      <c r="D3317" s="16" t="str">
        <f>HYPERLINK("https://freddywills.com/pick/5610/idaho-1.html", "Idaho -1")</f>
        <v>Idaho -1</v>
      </c>
      <c r="E3317" s="11">
        <v>4.4000000000000004</v>
      </c>
      <c r="F3317" s="11">
        <v>-1.1000000000000001</v>
      </c>
      <c r="G3317" s="11" t="s">
        <v>9</v>
      </c>
      <c r="H3317" s="13">
        <v>0</v>
      </c>
      <c r="I3317" s="20">
        <f t="shared" si="120"/>
        <v>0.3031819</v>
      </c>
      <c r="J3317" s="13">
        <f t="shared" si="121"/>
        <v>30318.190000000006</v>
      </c>
    </row>
    <row r="3318" spans="1:10" x14ac:dyDescent="0.25">
      <c r="A3318" s="10">
        <v>40177</v>
      </c>
      <c r="B3318" s="11" t="s">
        <v>8</v>
      </c>
      <c r="C3318" s="11" t="s">
        <v>5</v>
      </c>
      <c r="D3318" s="16" t="str">
        <f>HYPERLINK("https://freddywills.com/pick/5611/nebraska-2-5.html", "Nebraska -2.5")</f>
        <v>Nebraska -2.5</v>
      </c>
      <c r="E3318" s="11">
        <v>3.3</v>
      </c>
      <c r="F3318" s="11">
        <v>-1.1000000000000001</v>
      </c>
      <c r="G3318" s="11" t="s">
        <v>4</v>
      </c>
      <c r="H3318" s="13">
        <v>3000</v>
      </c>
      <c r="I3318" s="20">
        <f t="shared" si="120"/>
        <v>0.3031819</v>
      </c>
      <c r="J3318" s="13">
        <f t="shared" si="121"/>
        <v>30318.190000000006</v>
      </c>
    </row>
    <row r="3319" spans="1:10" x14ac:dyDescent="0.25">
      <c r="A3319" s="10">
        <v>40176</v>
      </c>
      <c r="B3319" s="11" t="s">
        <v>8</v>
      </c>
      <c r="C3319" s="11" t="s">
        <v>5</v>
      </c>
      <c r="D3319" s="16" t="str">
        <f>HYPERLINK("https://freddywills.com/pick/5614/wisconsin-4.html", "Wisconsin +4")</f>
        <v>Wisconsin +4</v>
      </c>
      <c r="E3319" s="11">
        <v>4</v>
      </c>
      <c r="F3319" s="11">
        <v>-1.1000000000000001</v>
      </c>
      <c r="G3319" s="11" t="s">
        <v>4</v>
      </c>
      <c r="H3319" s="13">
        <v>3636.36</v>
      </c>
      <c r="I3319" s="20">
        <f t="shared" si="120"/>
        <v>0.27318190000000003</v>
      </c>
      <c r="J3319" s="13">
        <f t="shared" si="121"/>
        <v>27318.190000000006</v>
      </c>
    </row>
    <row r="3320" spans="1:10" x14ac:dyDescent="0.25">
      <c r="A3320" s="10">
        <v>40176</v>
      </c>
      <c r="B3320" s="11" t="s">
        <v>8</v>
      </c>
      <c r="C3320" s="11" t="s">
        <v>5</v>
      </c>
      <c r="D3320" s="16" t="str">
        <f>HYPERLINK("https://freddywills.com/pick/5615/ucla-4-5.html", "UCLA -4.5")</f>
        <v>UCLA -4.5</v>
      </c>
      <c r="E3320" s="11">
        <v>3.5</v>
      </c>
      <c r="F3320" s="11">
        <v>-1.1000000000000001</v>
      </c>
      <c r="G3320" s="11" t="s">
        <v>4</v>
      </c>
      <c r="H3320" s="13">
        <v>3181.82</v>
      </c>
      <c r="I3320" s="20">
        <f t="shared" si="120"/>
        <v>0.23681830000000004</v>
      </c>
      <c r="J3320" s="13">
        <f t="shared" si="121"/>
        <v>23681.830000000005</v>
      </c>
    </row>
    <row r="3321" spans="1:10" x14ac:dyDescent="0.25">
      <c r="A3321" s="10">
        <v>40175</v>
      </c>
      <c r="B3321" s="11" t="s">
        <v>8</v>
      </c>
      <c r="C3321" s="11" t="s">
        <v>5</v>
      </c>
      <c r="D3321" s="16" t="str">
        <f>HYPERLINK("https://freddywills.com/pick/5617/georgia-6-5.html", "Georgia -6.5")</f>
        <v>Georgia -6.5</v>
      </c>
      <c r="E3321" s="11">
        <v>4</v>
      </c>
      <c r="F3321" s="11">
        <v>-1.1000000000000001</v>
      </c>
      <c r="G3321" s="11" t="s">
        <v>4</v>
      </c>
      <c r="H3321" s="13">
        <v>3636.36</v>
      </c>
      <c r="I3321" s="20">
        <f t="shared" si="120"/>
        <v>0.20500010000000002</v>
      </c>
      <c r="J3321" s="13">
        <f t="shared" si="121"/>
        <v>20500.010000000006</v>
      </c>
    </row>
    <row r="3322" spans="1:10" x14ac:dyDescent="0.25">
      <c r="A3322" s="10">
        <v>40174</v>
      </c>
      <c r="B3322" s="11" t="s">
        <v>2</v>
      </c>
      <c r="C3322" s="11" t="s">
        <v>5</v>
      </c>
      <c r="D3322" s="16" t="str">
        <f>HYPERLINK("https://freddywills.com/pick/5620/steelers-3.html", "Steelers -3")</f>
        <v>Steelers -3</v>
      </c>
      <c r="E3322" s="11">
        <v>3</v>
      </c>
      <c r="F3322" s="11">
        <v>-1.1000000000000001</v>
      </c>
      <c r="G3322" s="11" t="s">
        <v>9</v>
      </c>
      <c r="H3322" s="13">
        <v>0</v>
      </c>
      <c r="I3322" s="20">
        <f t="shared" si="120"/>
        <v>0.16863650000000002</v>
      </c>
      <c r="J3322" s="13">
        <f t="shared" si="121"/>
        <v>16863.650000000005</v>
      </c>
    </row>
    <row r="3323" spans="1:10" x14ac:dyDescent="0.25">
      <c r="A3323" s="10">
        <v>40174</v>
      </c>
      <c r="B3323" s="11" t="s">
        <v>8</v>
      </c>
      <c r="C3323" s="11" t="s">
        <v>5</v>
      </c>
      <c r="D3323" s="16" t="str">
        <f>HYPERLINK("https://freddywills.com/pick/5621/kentucky-7.html", "Kentucky +7")</f>
        <v>Kentucky +7</v>
      </c>
      <c r="E3323" s="11">
        <v>4.4000000000000004</v>
      </c>
      <c r="F3323" s="11">
        <v>-1.1000000000000001</v>
      </c>
      <c r="G3323" s="11" t="s">
        <v>6</v>
      </c>
      <c r="H3323" s="13">
        <v>-4400</v>
      </c>
      <c r="I3323" s="20">
        <f t="shared" si="120"/>
        <v>0.16863650000000002</v>
      </c>
      <c r="J3323" s="13">
        <f t="shared" si="121"/>
        <v>16863.650000000005</v>
      </c>
    </row>
    <row r="3324" spans="1:10" x14ac:dyDescent="0.25">
      <c r="A3324" s="10">
        <v>40174</v>
      </c>
      <c r="B3324" s="11" t="s">
        <v>8</v>
      </c>
      <c r="C3324" s="11" t="s">
        <v>18</v>
      </c>
      <c r="D3324" s="16" t="str">
        <f>HYPERLINK("https://freddywills.com/pick/5622/kentucky-218.html", "Kentucky +218")</f>
        <v>Kentucky +218</v>
      </c>
      <c r="E3324" s="11">
        <v>1</v>
      </c>
      <c r="F3324" s="11">
        <v>2.1800000000000002</v>
      </c>
      <c r="G3324" s="11" t="s">
        <v>6</v>
      </c>
      <c r="H3324" s="13">
        <v>-1000</v>
      </c>
      <c r="I3324" s="20">
        <f t="shared" si="120"/>
        <v>0.21263650000000001</v>
      </c>
      <c r="J3324" s="13">
        <f t="shared" si="121"/>
        <v>21263.650000000005</v>
      </c>
    </row>
    <row r="3325" spans="1:10" x14ac:dyDescent="0.25">
      <c r="A3325" s="10">
        <v>40173</v>
      </c>
      <c r="B3325" s="11" t="s">
        <v>8</v>
      </c>
      <c r="C3325" s="11" t="s">
        <v>5</v>
      </c>
      <c r="D3325" s="16" t="str">
        <f>HYPERLINK("https://freddywills.com/pick/5623/marshall-3.html", "Marshall +3")</f>
        <v>Marshall +3</v>
      </c>
      <c r="E3325" s="11">
        <v>3.5</v>
      </c>
      <c r="F3325" s="11">
        <v>-1.1000000000000001</v>
      </c>
      <c r="G3325" s="11" t="s">
        <v>4</v>
      </c>
      <c r="H3325" s="13">
        <v>3181.82</v>
      </c>
      <c r="I3325" s="20">
        <f t="shared" si="120"/>
        <v>0.22263650000000001</v>
      </c>
      <c r="J3325" s="13">
        <f t="shared" si="121"/>
        <v>22263.650000000005</v>
      </c>
    </row>
    <row r="3326" spans="1:10" x14ac:dyDescent="0.25">
      <c r="A3326" s="10">
        <v>40173</v>
      </c>
      <c r="B3326" s="11" t="s">
        <v>8</v>
      </c>
      <c r="C3326" s="11" t="s">
        <v>5</v>
      </c>
      <c r="D3326" s="16" t="str">
        <f>HYPERLINK("https://freddywills.com/pick/5625/unc-3.html", "UNC +3")</f>
        <v>UNC +3</v>
      </c>
      <c r="E3326" s="11">
        <v>4.5</v>
      </c>
      <c r="F3326" s="11">
        <v>-1.1000000000000001</v>
      </c>
      <c r="G3326" s="11" t="s">
        <v>4</v>
      </c>
      <c r="H3326" s="13">
        <v>4090.91</v>
      </c>
      <c r="I3326" s="20">
        <f t="shared" si="120"/>
        <v>0.1908183</v>
      </c>
      <c r="J3326" s="13">
        <f t="shared" si="121"/>
        <v>19081.830000000005</v>
      </c>
    </row>
    <row r="3327" spans="1:10" x14ac:dyDescent="0.25">
      <c r="A3327" s="10">
        <v>40173</v>
      </c>
      <c r="B3327" s="11" t="s">
        <v>8</v>
      </c>
      <c r="C3327" s="11" t="s">
        <v>5</v>
      </c>
      <c r="D3327" s="16" t="str">
        <f>HYPERLINK("https://freddywills.com/pick/5627/bc-7.html", "BC +7")</f>
        <v>BC +7</v>
      </c>
      <c r="E3327" s="11">
        <v>3</v>
      </c>
      <c r="F3327" s="11">
        <v>-1.1000000000000001</v>
      </c>
      <c r="G3327" s="11" t="s">
        <v>6</v>
      </c>
      <c r="H3327" s="13">
        <v>-3000</v>
      </c>
      <c r="I3327" s="20">
        <f t="shared" si="120"/>
        <v>0.14990919999999999</v>
      </c>
      <c r="J3327" s="13">
        <f t="shared" si="121"/>
        <v>14990.920000000006</v>
      </c>
    </row>
    <row r="3328" spans="1:10" x14ac:dyDescent="0.25">
      <c r="A3328" s="10">
        <v>40172</v>
      </c>
      <c r="B3328" s="11" t="s">
        <v>2</v>
      </c>
      <c r="C3328" s="11" t="s">
        <v>5</v>
      </c>
      <c r="D3328" s="16" t="str">
        <f>HYPERLINK("https://freddywills.com/pick/5628/chargers-3-5-120.html", "Chargers +3.5 (-120)")</f>
        <v>Chargers +3.5 (-120)</v>
      </c>
      <c r="E3328" s="11">
        <v>4</v>
      </c>
      <c r="F3328" s="11">
        <v>-1.2</v>
      </c>
      <c r="G3328" s="11" t="s">
        <v>4</v>
      </c>
      <c r="H3328" s="13">
        <v>3333.33</v>
      </c>
      <c r="I3328" s="20">
        <f t="shared" si="120"/>
        <v>0.17990919999999999</v>
      </c>
      <c r="J3328" s="13">
        <f t="shared" si="121"/>
        <v>17990.920000000006</v>
      </c>
    </row>
    <row r="3329" spans="1:10" x14ac:dyDescent="0.25">
      <c r="A3329" s="10">
        <v>40172</v>
      </c>
      <c r="B3329" s="11" t="s">
        <v>2</v>
      </c>
      <c r="C3329" s="11" t="s">
        <v>7</v>
      </c>
      <c r="D3329" s="16" t="str">
        <f>HYPERLINK("https://freddywills.com/pick/5629/u47-5.html", "U47.5")</f>
        <v>U47.5</v>
      </c>
      <c r="E3329" s="11">
        <v>1</v>
      </c>
      <c r="F3329" s="11">
        <v>-1.1000000000000001</v>
      </c>
      <c r="G3329" s="11" t="s">
        <v>6</v>
      </c>
      <c r="H3329" s="13">
        <v>-1000</v>
      </c>
      <c r="I3329" s="20">
        <f t="shared" si="120"/>
        <v>0.14657590000000001</v>
      </c>
      <c r="J3329" s="13">
        <f t="shared" si="121"/>
        <v>14657.590000000004</v>
      </c>
    </row>
    <row r="3330" spans="1:10" x14ac:dyDescent="0.25">
      <c r="A3330" s="10">
        <v>40171</v>
      </c>
      <c r="B3330" s="11" t="s">
        <v>8</v>
      </c>
      <c r="C3330" s="11" t="s">
        <v>18</v>
      </c>
      <c r="D3330" s="16" t="str">
        <f>HYPERLINK("https://freddywills.com/pick/5632/smu-360.html", "SMU +360")</f>
        <v>SMU +360</v>
      </c>
      <c r="E3330" s="11">
        <v>0.7</v>
      </c>
      <c r="F3330" s="11">
        <v>3.6</v>
      </c>
      <c r="G3330" s="11" t="s">
        <v>4</v>
      </c>
      <c r="H3330" s="13">
        <v>2520</v>
      </c>
      <c r="I3330" s="20">
        <f t="shared" si="120"/>
        <v>0.15657590000000002</v>
      </c>
      <c r="J3330" s="13">
        <f t="shared" si="121"/>
        <v>15657.590000000004</v>
      </c>
    </row>
    <row r="3331" spans="1:10" x14ac:dyDescent="0.25">
      <c r="A3331" s="10">
        <v>40171</v>
      </c>
      <c r="B3331" s="11" t="s">
        <v>8</v>
      </c>
      <c r="C3331" s="11" t="s">
        <v>5</v>
      </c>
      <c r="D3331" s="16" t="str">
        <f>HYPERLINK("https://freddywills.com/pick/5633/smu-13.html", "SMU +13")</f>
        <v>SMU +13</v>
      </c>
      <c r="E3331" s="11">
        <v>3.3</v>
      </c>
      <c r="F3331" s="11">
        <v>-1.1000000000000001</v>
      </c>
      <c r="G3331" s="11" t="s">
        <v>4</v>
      </c>
      <c r="H3331" s="13">
        <v>3000</v>
      </c>
      <c r="I3331" s="20">
        <f t="shared" si="120"/>
        <v>0.13137590000000002</v>
      </c>
      <c r="J3331" s="13">
        <f t="shared" si="121"/>
        <v>13137.590000000004</v>
      </c>
    </row>
    <row r="3332" spans="1:10" x14ac:dyDescent="0.25">
      <c r="A3332" s="10">
        <v>40170</v>
      </c>
      <c r="B3332" s="11" t="s">
        <v>8</v>
      </c>
      <c r="C3332" s="11" t="s">
        <v>5</v>
      </c>
      <c r="D3332" s="16" t="str">
        <f>HYPERLINK("https://freddywills.com/pick/5634/utah-3.html", "Utah +3")</f>
        <v>Utah +3</v>
      </c>
      <c r="E3332" s="11">
        <v>3.5</v>
      </c>
      <c r="F3332" s="11">
        <v>-1.1000000000000001</v>
      </c>
      <c r="G3332" s="11" t="s">
        <v>4</v>
      </c>
      <c r="H3332" s="13">
        <v>3181.82</v>
      </c>
      <c r="I3332" s="20">
        <f t="shared" si="120"/>
        <v>0.10137590000000002</v>
      </c>
      <c r="J3332" s="13">
        <f t="shared" si="121"/>
        <v>10137.590000000004</v>
      </c>
    </row>
    <row r="3333" spans="1:10" x14ac:dyDescent="0.25">
      <c r="A3333" s="10">
        <v>40170</v>
      </c>
      <c r="B3333" s="11" t="s">
        <v>8</v>
      </c>
      <c r="C3333" s="11" t="s">
        <v>18</v>
      </c>
      <c r="D3333" s="16" t="str">
        <f>HYPERLINK("https://freddywills.com/pick/5635/utah-145.html", "Utah +145")</f>
        <v>Utah +145</v>
      </c>
      <c r="E3333" s="11">
        <v>1</v>
      </c>
      <c r="F3333" s="11">
        <v>1.45</v>
      </c>
      <c r="G3333" s="11" t="s">
        <v>4</v>
      </c>
      <c r="H3333" s="13">
        <v>1450</v>
      </c>
      <c r="I3333" s="20">
        <f t="shared" si="120"/>
        <v>6.9557700000000014E-2</v>
      </c>
      <c r="J3333" s="13">
        <f t="shared" si="121"/>
        <v>6955.7700000000041</v>
      </c>
    </row>
    <row r="3334" spans="1:10" x14ac:dyDescent="0.25">
      <c r="A3334" s="10">
        <v>40169</v>
      </c>
      <c r="B3334" s="11" t="s">
        <v>8</v>
      </c>
      <c r="C3334" s="11" t="s">
        <v>5</v>
      </c>
      <c r="D3334" s="16" t="str">
        <f>HYPERLINK("https://freddywills.com/pick/5639/oreg-st-2-5.html", "Oreg St -2.5")</f>
        <v>Oreg St -2.5</v>
      </c>
      <c r="E3334" s="11">
        <v>4.5</v>
      </c>
      <c r="F3334" s="11">
        <v>-1.1000000000000001</v>
      </c>
      <c r="G3334" s="11" t="s">
        <v>6</v>
      </c>
      <c r="H3334" s="13">
        <v>-4500</v>
      </c>
      <c r="I3334" s="20">
        <f t="shared" si="120"/>
        <v>5.5057700000000015E-2</v>
      </c>
      <c r="J3334" s="13">
        <f t="shared" si="121"/>
        <v>5505.7700000000041</v>
      </c>
    </row>
    <row r="3335" spans="1:10" x14ac:dyDescent="0.25">
      <c r="A3335" s="10">
        <v>40168</v>
      </c>
      <c r="B3335" s="11" t="s">
        <v>2</v>
      </c>
      <c r="C3335" s="11" t="s">
        <v>5</v>
      </c>
      <c r="D3335" s="16" t="str">
        <f>HYPERLINK("https://freddywills.com/pick/5640/redskins-3.html", "Redskins +3")</f>
        <v>Redskins +3</v>
      </c>
      <c r="E3335" s="11">
        <v>4.4000000000000004</v>
      </c>
      <c r="F3335" s="11">
        <v>-1.1000000000000001</v>
      </c>
      <c r="G3335" s="11" t="s">
        <v>6</v>
      </c>
      <c r="H3335" s="13">
        <v>-4400</v>
      </c>
      <c r="I3335" s="20">
        <f t="shared" si="120"/>
        <v>0.10005770000000001</v>
      </c>
      <c r="J3335" s="13">
        <f t="shared" si="121"/>
        <v>10005.770000000004</v>
      </c>
    </row>
    <row r="3336" spans="1:10" x14ac:dyDescent="0.25">
      <c r="A3336" s="10">
        <v>40167</v>
      </c>
      <c r="B3336" s="11" t="s">
        <v>2</v>
      </c>
      <c r="C3336" s="11" t="s">
        <v>5</v>
      </c>
      <c r="D3336" s="16" t="str">
        <f>HYPERLINK("https://freddywills.com/pick/5642/steelers-1.html", "Steelers -1")</f>
        <v>Steelers -1</v>
      </c>
      <c r="E3336" s="11">
        <v>3.3</v>
      </c>
      <c r="F3336" s="11">
        <v>-1.1000000000000001</v>
      </c>
      <c r="G3336" s="11" t="s">
        <v>9</v>
      </c>
      <c r="H3336" s="13">
        <v>0</v>
      </c>
      <c r="I3336" s="20">
        <f t="shared" si="120"/>
        <v>0.14405770000000001</v>
      </c>
      <c r="J3336" s="13">
        <f t="shared" si="121"/>
        <v>14405.770000000004</v>
      </c>
    </row>
    <row r="3337" spans="1:10" x14ac:dyDescent="0.25">
      <c r="A3337" s="10">
        <v>40167</v>
      </c>
      <c r="B3337" s="11" t="s">
        <v>2</v>
      </c>
      <c r="C3337" s="11" t="s">
        <v>5</v>
      </c>
      <c r="D3337" s="16" t="str">
        <f>HYPERLINK("https://freddywills.com/pick/5643/titans-4-5.html", "Titans -4.5")</f>
        <v>Titans -4.5</v>
      </c>
      <c r="E3337" s="11">
        <v>4</v>
      </c>
      <c r="F3337" s="11">
        <v>-1.1000000000000001</v>
      </c>
      <c r="G3337" s="11" t="s">
        <v>6</v>
      </c>
      <c r="H3337" s="13">
        <v>-4000</v>
      </c>
      <c r="I3337" s="20">
        <f t="shared" si="120"/>
        <v>0.14405770000000001</v>
      </c>
      <c r="J3337" s="13">
        <f t="shared" si="121"/>
        <v>14405.770000000004</v>
      </c>
    </row>
    <row r="3338" spans="1:10" x14ac:dyDescent="0.25">
      <c r="A3338" s="10">
        <v>40167</v>
      </c>
      <c r="B3338" s="11" t="s">
        <v>8</v>
      </c>
      <c r="C3338" s="11" t="s">
        <v>5</v>
      </c>
      <c r="D3338" s="16" t="str">
        <f>HYPERLINK("https://freddywills.com/pick/5644/mtsu-4.html", "MTSU +4")</f>
        <v>MTSU +4</v>
      </c>
      <c r="E3338" s="11">
        <v>4.5</v>
      </c>
      <c r="F3338" s="11">
        <v>-1.1000000000000001</v>
      </c>
      <c r="G3338" s="11" t="s">
        <v>4</v>
      </c>
      <c r="H3338" s="13">
        <v>4090.91</v>
      </c>
      <c r="I3338" s="20">
        <f t="shared" si="120"/>
        <v>0.18405770000000002</v>
      </c>
      <c r="J3338" s="13">
        <f t="shared" si="121"/>
        <v>18405.770000000004</v>
      </c>
    </row>
    <row r="3339" spans="1:10" x14ac:dyDescent="0.25">
      <c r="A3339" s="10">
        <v>40166</v>
      </c>
      <c r="B3339" s="11" t="s">
        <v>8</v>
      </c>
      <c r="C3339" s="11" t="s">
        <v>5</v>
      </c>
      <c r="D3339" s="16" t="str">
        <f>HYPERLINK("https://freddywills.com/pick/5646/rutgers-2-5.html", "Rutgers -2.5")</f>
        <v>Rutgers -2.5</v>
      </c>
      <c r="E3339" s="11">
        <v>3.5</v>
      </c>
      <c r="F3339" s="11">
        <v>-1.1000000000000001</v>
      </c>
      <c r="G3339" s="11" t="s">
        <v>4</v>
      </c>
      <c r="H3339" s="13">
        <v>3181.82</v>
      </c>
      <c r="I3339" s="20">
        <f t="shared" si="120"/>
        <v>0.14314860000000001</v>
      </c>
      <c r="J3339" s="13">
        <f t="shared" si="121"/>
        <v>14314.860000000004</v>
      </c>
    </row>
    <row r="3340" spans="1:10" x14ac:dyDescent="0.25">
      <c r="A3340" s="10">
        <v>40164</v>
      </c>
      <c r="B3340" s="11" t="s">
        <v>2</v>
      </c>
      <c r="C3340" s="11" t="s">
        <v>10</v>
      </c>
      <c r="D3340" s="16" t="str">
        <f>HYPERLINK("https://freddywills.com/pick/5652/colts-3-u49.html", "Colts+3 U49")</f>
        <v>Colts+3 U49</v>
      </c>
      <c r="E3340" s="11">
        <v>3</v>
      </c>
      <c r="F3340" s="11">
        <v>-1.1000000000000001</v>
      </c>
      <c r="G3340" s="11" t="s">
        <v>6</v>
      </c>
      <c r="H3340" s="13">
        <v>-3000</v>
      </c>
      <c r="I3340" s="20">
        <f t="shared" si="120"/>
        <v>0.11133040000000002</v>
      </c>
      <c r="J3340" s="13">
        <f t="shared" si="121"/>
        <v>11133.040000000005</v>
      </c>
    </row>
    <row r="3341" spans="1:10" x14ac:dyDescent="0.25">
      <c r="A3341" s="10">
        <v>40161</v>
      </c>
      <c r="B3341" s="11" t="s">
        <v>2</v>
      </c>
      <c r="C3341" s="11" t="s">
        <v>5</v>
      </c>
      <c r="D3341" s="16" t="str">
        <f>HYPERLINK("https://freddywills.com/pick/5658/49ers-4-5.html", "49ers +4.5")</f>
        <v>49ers +4.5</v>
      </c>
      <c r="E3341" s="11">
        <v>4</v>
      </c>
      <c r="F3341" s="11">
        <v>-1.1000000000000001</v>
      </c>
      <c r="G3341" s="11" t="s">
        <v>4</v>
      </c>
      <c r="H3341" s="13">
        <v>3636.36</v>
      </c>
      <c r="I3341" s="20">
        <f t="shared" si="120"/>
        <v>0.14133040000000002</v>
      </c>
      <c r="J3341" s="13">
        <f t="shared" si="121"/>
        <v>14133.040000000005</v>
      </c>
    </row>
    <row r="3342" spans="1:10" x14ac:dyDescent="0.25">
      <c r="A3342" s="10">
        <v>40160</v>
      </c>
      <c r="B3342" s="11" t="s">
        <v>2</v>
      </c>
      <c r="C3342" s="11" t="s">
        <v>5</v>
      </c>
      <c r="D3342" s="16" t="str">
        <f>HYPERLINK("https://freddywills.com/pick/5660/texans-7.html", "Texans -7")</f>
        <v>Texans -7</v>
      </c>
      <c r="E3342" s="11">
        <v>4.5</v>
      </c>
      <c r="F3342" s="11">
        <v>-1.1000000000000001</v>
      </c>
      <c r="G3342" s="11" t="s">
        <v>4</v>
      </c>
      <c r="H3342" s="13">
        <v>4090.91</v>
      </c>
      <c r="I3342" s="20">
        <f t="shared" si="120"/>
        <v>0.10496680000000003</v>
      </c>
      <c r="J3342" s="13">
        <f t="shared" si="121"/>
        <v>10496.680000000004</v>
      </c>
    </row>
    <row r="3343" spans="1:10" x14ac:dyDescent="0.25">
      <c r="A3343" s="10">
        <v>40160</v>
      </c>
      <c r="B3343" s="11" t="s">
        <v>2</v>
      </c>
      <c r="C3343" s="11" t="s">
        <v>5</v>
      </c>
      <c r="D3343" s="16" t="str">
        <f>HYPERLINK("https://freddywills.com/pick/5661/raiders-1.html", "Raiders +1")</f>
        <v>Raiders +1</v>
      </c>
      <c r="E3343" s="11">
        <v>3</v>
      </c>
      <c r="F3343" s="11">
        <v>-1.1000000000000001</v>
      </c>
      <c r="G3343" s="11" t="s">
        <v>6</v>
      </c>
      <c r="H3343" s="13">
        <v>-3000</v>
      </c>
      <c r="I3343" s="20">
        <f t="shared" si="120"/>
        <v>6.4057700000000023E-2</v>
      </c>
      <c r="J3343" s="13">
        <f t="shared" si="121"/>
        <v>6405.7700000000041</v>
      </c>
    </row>
    <row r="3344" spans="1:10" x14ac:dyDescent="0.25">
      <c r="A3344" s="10">
        <v>40160</v>
      </c>
      <c r="B3344" s="11" t="s">
        <v>2</v>
      </c>
      <c r="C3344" s="11" t="s">
        <v>5</v>
      </c>
      <c r="D3344" s="16" t="str">
        <f>HYPERLINK("https://freddywills.com/pick/5662/giants-1-5.html", "Giants +1.5")</f>
        <v>Giants +1.5</v>
      </c>
      <c r="E3344" s="11">
        <v>3</v>
      </c>
      <c r="F3344" s="11">
        <v>-1.1000000000000001</v>
      </c>
      <c r="G3344" s="11" t="s">
        <v>6</v>
      </c>
      <c r="H3344" s="13">
        <v>-3000</v>
      </c>
      <c r="I3344" s="20">
        <f t="shared" si="120"/>
        <v>9.4057700000000022E-2</v>
      </c>
      <c r="J3344" s="13">
        <f t="shared" si="121"/>
        <v>9405.7700000000041</v>
      </c>
    </row>
    <row r="3345" spans="1:10" x14ac:dyDescent="0.25">
      <c r="A3345" s="10">
        <v>40157</v>
      </c>
      <c r="B3345" s="11" t="s">
        <v>2</v>
      </c>
      <c r="C3345" s="11" t="s">
        <v>5</v>
      </c>
      <c r="D3345" s="16" t="str">
        <f>HYPERLINK("https://freddywills.com/pick/5670/steelers-10.html", "Steelers -10")</f>
        <v>Steelers -10</v>
      </c>
      <c r="E3345" s="11">
        <v>4</v>
      </c>
      <c r="F3345" s="11">
        <v>-1.1000000000000001</v>
      </c>
      <c r="G3345" s="11" t="s">
        <v>6</v>
      </c>
      <c r="H3345" s="13">
        <v>-4000</v>
      </c>
      <c r="I3345" s="20">
        <f t="shared" si="120"/>
        <v>0.12405770000000002</v>
      </c>
      <c r="J3345" s="13">
        <f t="shared" si="121"/>
        <v>12405.770000000004</v>
      </c>
    </row>
    <row r="3346" spans="1:10" x14ac:dyDescent="0.25">
      <c r="A3346" s="10">
        <v>40157</v>
      </c>
      <c r="B3346" s="11" t="s">
        <v>2</v>
      </c>
      <c r="C3346" s="11" t="s">
        <v>5</v>
      </c>
      <c r="D3346" s="16" t="str">
        <f>HYPERLINK("https://freddywills.com/pick/5671/steelers-6-5-1h.html", "Steelers -6.5 1H")</f>
        <v>Steelers -6.5 1H</v>
      </c>
      <c r="E3346" s="11">
        <v>2</v>
      </c>
      <c r="F3346" s="11">
        <v>-1.1000000000000001</v>
      </c>
      <c r="G3346" s="11" t="s">
        <v>6</v>
      </c>
      <c r="H3346" s="13">
        <v>-2000</v>
      </c>
      <c r="I3346" s="20">
        <f t="shared" ref="I3346:I3409" si="122">(H3346/100000)+I3347</f>
        <v>0.16405770000000003</v>
      </c>
      <c r="J3346" s="13">
        <f t="shared" ref="J3346:J3409" si="123">J3347+H3346</f>
        <v>16405.770000000004</v>
      </c>
    </row>
    <row r="3347" spans="1:10" x14ac:dyDescent="0.25">
      <c r="A3347" s="10">
        <v>40154</v>
      </c>
      <c r="B3347" s="11" t="s">
        <v>2</v>
      </c>
      <c r="C3347" s="11" t="s">
        <v>5</v>
      </c>
      <c r="D3347" s="16" t="str">
        <f>HYPERLINK("https://freddywills.com/pick/5680/packers-3.html", "Packers -3")</f>
        <v>Packers -3</v>
      </c>
      <c r="E3347" s="11">
        <v>4</v>
      </c>
      <c r="F3347" s="11">
        <v>-1.1000000000000001</v>
      </c>
      <c r="G3347" s="11" t="s">
        <v>4</v>
      </c>
      <c r="H3347" s="13">
        <v>3636.36</v>
      </c>
      <c r="I3347" s="20">
        <f t="shared" si="122"/>
        <v>0.18405770000000002</v>
      </c>
      <c r="J3347" s="13">
        <f t="shared" si="123"/>
        <v>18405.770000000004</v>
      </c>
    </row>
    <row r="3348" spans="1:10" x14ac:dyDescent="0.25">
      <c r="A3348" s="10">
        <v>40153</v>
      </c>
      <c r="B3348" s="11" t="s">
        <v>2</v>
      </c>
      <c r="C3348" s="11" t="s">
        <v>5</v>
      </c>
      <c r="D3348" s="16" t="str">
        <f>HYPERLINK("https://freddywills.com/pick/5681/redskins-10.html", "Redskins +10")</f>
        <v>Redskins +10</v>
      </c>
      <c r="E3348" s="11">
        <v>4.5</v>
      </c>
      <c r="F3348" s="11">
        <v>-1.1000000000000001</v>
      </c>
      <c r="G3348" s="11" t="s">
        <v>4</v>
      </c>
      <c r="H3348" s="13">
        <v>4090.91</v>
      </c>
      <c r="I3348" s="20">
        <f t="shared" si="122"/>
        <v>0.14769410000000002</v>
      </c>
      <c r="J3348" s="13">
        <f t="shared" si="123"/>
        <v>14769.410000000003</v>
      </c>
    </row>
    <row r="3349" spans="1:10" x14ac:dyDescent="0.25">
      <c r="A3349" s="10">
        <v>40153</v>
      </c>
      <c r="B3349" s="11" t="s">
        <v>2</v>
      </c>
      <c r="C3349" s="11" t="s">
        <v>5</v>
      </c>
      <c r="D3349" s="16" t="str">
        <f>HYPERLINK("https://freddywills.com/pick/5682/titans-7-amp-ml.html", "Titans +7 &amp;amp; ML")</f>
        <v>Titans +7 &amp;amp; ML</v>
      </c>
      <c r="E3349" s="11">
        <v>4.5</v>
      </c>
      <c r="F3349" s="11">
        <v>-1.1000000000000001</v>
      </c>
      <c r="G3349" s="11" t="s">
        <v>6</v>
      </c>
      <c r="H3349" s="13">
        <v>-4500</v>
      </c>
      <c r="I3349" s="20">
        <f t="shared" si="122"/>
        <v>0.10678500000000003</v>
      </c>
      <c r="J3349" s="13">
        <f t="shared" si="123"/>
        <v>10678.500000000004</v>
      </c>
    </row>
    <row r="3350" spans="1:10" x14ac:dyDescent="0.25">
      <c r="A3350" s="10">
        <v>40153</v>
      </c>
      <c r="B3350" s="11" t="s">
        <v>2</v>
      </c>
      <c r="C3350" s="11" t="s">
        <v>5</v>
      </c>
      <c r="D3350" s="16" t="str">
        <f>HYPERLINK("https://freddywills.com/pick/5683/vikings-3.html", "Vikings -3")</f>
        <v>Vikings -3</v>
      </c>
      <c r="E3350" s="11">
        <v>3.3</v>
      </c>
      <c r="F3350" s="11">
        <v>-1.1000000000000001</v>
      </c>
      <c r="G3350" s="11" t="s">
        <v>6</v>
      </c>
      <c r="H3350" s="13">
        <v>-3300</v>
      </c>
      <c r="I3350" s="20">
        <f t="shared" si="122"/>
        <v>0.15178500000000003</v>
      </c>
      <c r="J3350" s="13">
        <f t="shared" si="123"/>
        <v>15178.500000000004</v>
      </c>
    </row>
    <row r="3351" spans="1:10" x14ac:dyDescent="0.25">
      <c r="A3351" s="10">
        <v>40152</v>
      </c>
      <c r="B3351" s="11" t="s">
        <v>8</v>
      </c>
      <c r="C3351" s="11" t="s">
        <v>5</v>
      </c>
      <c r="D3351" s="16" t="str">
        <f>HYPERLINK("https://freddywills.com/pick/5685/clemson-1.html", "Clemson +1")</f>
        <v>Clemson +1</v>
      </c>
      <c r="E3351" s="11">
        <v>4</v>
      </c>
      <c r="F3351" s="11">
        <v>-1.1000000000000001</v>
      </c>
      <c r="G3351" s="11" t="s">
        <v>6</v>
      </c>
      <c r="H3351" s="13">
        <v>-4000</v>
      </c>
      <c r="I3351" s="20">
        <f t="shared" si="122"/>
        <v>0.18478500000000003</v>
      </c>
      <c r="J3351" s="13">
        <f t="shared" si="123"/>
        <v>18478.500000000004</v>
      </c>
    </row>
    <row r="3352" spans="1:10" x14ac:dyDescent="0.25">
      <c r="A3352" s="10">
        <v>40152</v>
      </c>
      <c r="B3352" s="11" t="s">
        <v>8</v>
      </c>
      <c r="C3352" s="11" t="s">
        <v>5</v>
      </c>
      <c r="D3352" s="16" t="str">
        <f>HYPERLINK("https://freddywills.com/pick/5686/rutgers-1.html", "Rutgers -1")</f>
        <v>Rutgers -1</v>
      </c>
      <c r="E3352" s="11">
        <v>3.5</v>
      </c>
      <c r="F3352" s="11">
        <v>-1.1000000000000001</v>
      </c>
      <c r="G3352" s="11" t="s">
        <v>6</v>
      </c>
      <c r="H3352" s="13">
        <v>-3500</v>
      </c>
      <c r="I3352" s="20">
        <f t="shared" si="122"/>
        <v>0.22478500000000004</v>
      </c>
      <c r="J3352" s="13">
        <f t="shared" si="123"/>
        <v>22478.500000000004</v>
      </c>
    </row>
    <row r="3353" spans="1:10" x14ac:dyDescent="0.25">
      <c r="A3353" s="10">
        <v>40152</v>
      </c>
      <c r="B3353" s="11" t="s">
        <v>8</v>
      </c>
      <c r="C3353" s="11" t="s">
        <v>5</v>
      </c>
      <c r="D3353" s="16" t="str">
        <f>HYPERLINK("https://freddywills.com/pick/5687/cal-7.html", "Cal -7")</f>
        <v>Cal -7</v>
      </c>
      <c r="E3353" s="11">
        <v>3</v>
      </c>
      <c r="F3353" s="11">
        <v>-1.1000000000000001</v>
      </c>
      <c r="G3353" s="11" t="s">
        <v>6</v>
      </c>
      <c r="H3353" s="13">
        <v>-3000</v>
      </c>
      <c r="I3353" s="20">
        <f t="shared" si="122"/>
        <v>0.25978500000000004</v>
      </c>
      <c r="J3353" s="13">
        <f t="shared" si="123"/>
        <v>25978.500000000004</v>
      </c>
    </row>
    <row r="3354" spans="1:10" x14ac:dyDescent="0.25">
      <c r="A3354" s="10">
        <v>40152</v>
      </c>
      <c r="B3354" s="11" t="s">
        <v>8</v>
      </c>
      <c r="C3354" s="11" t="s">
        <v>5</v>
      </c>
      <c r="D3354" s="16" t="str">
        <f>HYPERLINK("https://freddywills.com/pick/5688/bama-6.html", "Bama +6")</f>
        <v>Bama +6</v>
      </c>
      <c r="E3354" s="11">
        <v>5</v>
      </c>
      <c r="F3354" s="11">
        <v>-1.1000000000000001</v>
      </c>
      <c r="G3354" s="11" t="s">
        <v>4</v>
      </c>
      <c r="H3354" s="13">
        <v>4545.45</v>
      </c>
      <c r="I3354" s="20">
        <f t="shared" si="122"/>
        <v>0.28978500000000001</v>
      </c>
      <c r="J3354" s="13">
        <f t="shared" si="123"/>
        <v>28978.500000000004</v>
      </c>
    </row>
    <row r="3355" spans="1:10" x14ac:dyDescent="0.25">
      <c r="A3355" s="10">
        <v>40152</v>
      </c>
      <c r="B3355" s="11" t="s">
        <v>8</v>
      </c>
      <c r="C3355" s="11" t="s">
        <v>5</v>
      </c>
      <c r="D3355" s="16" t="str">
        <f>HYPERLINK("https://freddywills.com/pick/5689/bama-3-1h.html", "Bama +3 1H")</f>
        <v>Bama +3 1H</v>
      </c>
      <c r="E3355" s="11">
        <v>1.5</v>
      </c>
      <c r="F3355" s="11">
        <v>-1.1000000000000001</v>
      </c>
      <c r="G3355" s="11" t="s">
        <v>4</v>
      </c>
      <c r="H3355" s="13">
        <v>1363.64</v>
      </c>
      <c r="I3355" s="20">
        <f t="shared" si="122"/>
        <v>0.24433050000000003</v>
      </c>
      <c r="J3355" s="13">
        <f t="shared" si="123"/>
        <v>24433.050000000003</v>
      </c>
    </row>
    <row r="3356" spans="1:10" x14ac:dyDescent="0.25">
      <c r="A3356" s="10">
        <v>40152</v>
      </c>
      <c r="B3356" s="11" t="s">
        <v>8</v>
      </c>
      <c r="C3356" s="11" t="s">
        <v>18</v>
      </c>
      <c r="D3356" s="16" t="str">
        <f>HYPERLINK("https://freddywills.com/pick/5690/bama-195.html", "Bama +195")</f>
        <v>Bama +195</v>
      </c>
      <c r="E3356" s="11">
        <v>1</v>
      </c>
      <c r="F3356" s="11">
        <v>1.95</v>
      </c>
      <c r="G3356" s="11" t="s">
        <v>4</v>
      </c>
      <c r="H3356" s="13">
        <v>1950</v>
      </c>
      <c r="I3356" s="20">
        <f t="shared" si="122"/>
        <v>0.23069410000000004</v>
      </c>
      <c r="J3356" s="13">
        <f t="shared" si="123"/>
        <v>23069.410000000003</v>
      </c>
    </row>
    <row r="3357" spans="1:10" x14ac:dyDescent="0.25">
      <c r="A3357" s="10">
        <v>40151</v>
      </c>
      <c r="B3357" s="11" t="s">
        <v>8</v>
      </c>
      <c r="C3357" s="11" t="s">
        <v>5</v>
      </c>
      <c r="D3357" s="16" t="str">
        <f>HYPERLINK("https://freddywills.com/pick/5691/ohio-14.html", "Ohio +14")</f>
        <v>Ohio +14</v>
      </c>
      <c r="E3357" s="11">
        <v>4</v>
      </c>
      <c r="F3357" s="11">
        <v>-1.1000000000000001</v>
      </c>
      <c r="G3357" s="11" t="s">
        <v>4</v>
      </c>
      <c r="H3357" s="13">
        <v>3636.36</v>
      </c>
      <c r="I3357" s="20">
        <f t="shared" si="122"/>
        <v>0.21119410000000005</v>
      </c>
      <c r="J3357" s="13">
        <f t="shared" si="123"/>
        <v>21119.410000000003</v>
      </c>
    </row>
    <row r="3358" spans="1:10" x14ac:dyDescent="0.25">
      <c r="A3358" s="10">
        <v>40150</v>
      </c>
      <c r="B3358" s="11" t="s">
        <v>2</v>
      </c>
      <c r="C3358" s="11" t="s">
        <v>5</v>
      </c>
      <c r="D3358" s="16" t="str">
        <f>HYPERLINK("https://freddywills.com/pick/5693/jets-3.html", "Jets -3")</f>
        <v>Jets -3</v>
      </c>
      <c r="E3358" s="11">
        <v>4.5</v>
      </c>
      <c r="F3358" s="11">
        <v>-1.1000000000000001</v>
      </c>
      <c r="G3358" s="11" t="s">
        <v>4</v>
      </c>
      <c r="H3358" s="13">
        <v>4090.91</v>
      </c>
      <c r="I3358" s="20">
        <f t="shared" si="122"/>
        <v>0.17483050000000006</v>
      </c>
      <c r="J3358" s="13">
        <f t="shared" si="123"/>
        <v>17483.050000000003</v>
      </c>
    </row>
    <row r="3359" spans="1:10" x14ac:dyDescent="0.25">
      <c r="A3359" s="10">
        <v>40150</v>
      </c>
      <c r="B3359" s="11" t="s">
        <v>8</v>
      </c>
      <c r="C3359" s="11" t="s">
        <v>5</v>
      </c>
      <c r="D3359" s="16" t="str">
        <f>HYPERLINK("https://freddywills.com/pick/5696/ark-st-6-5.html", "Ark St -6.5")</f>
        <v>Ark St -6.5</v>
      </c>
      <c r="E3359" s="11">
        <v>1</v>
      </c>
      <c r="F3359" s="11">
        <v>-1.1000000000000001</v>
      </c>
      <c r="G3359" s="11" t="s">
        <v>6</v>
      </c>
      <c r="H3359" s="13">
        <v>-1000</v>
      </c>
      <c r="I3359" s="20">
        <f t="shared" si="122"/>
        <v>0.13392140000000005</v>
      </c>
      <c r="J3359" s="13">
        <f t="shared" si="123"/>
        <v>13392.140000000003</v>
      </c>
    </row>
    <row r="3360" spans="1:10" x14ac:dyDescent="0.25">
      <c r="A3360" s="10">
        <v>40150</v>
      </c>
      <c r="B3360" s="11" t="s">
        <v>8</v>
      </c>
      <c r="C3360" s="11" t="s">
        <v>5</v>
      </c>
      <c r="D3360" s="16" t="str">
        <f>HYPERLINK("https://freddywills.com/pick/5697/oregon-9-5.html", "Oregon -9.5")</f>
        <v>Oregon -9.5</v>
      </c>
      <c r="E3360" s="11">
        <v>3.5</v>
      </c>
      <c r="F3360" s="11">
        <v>-1.1000000000000001</v>
      </c>
      <c r="G3360" s="11" t="s">
        <v>6</v>
      </c>
      <c r="H3360" s="13">
        <v>-3500</v>
      </c>
      <c r="I3360" s="20">
        <f t="shared" si="122"/>
        <v>0.14392140000000006</v>
      </c>
      <c r="J3360" s="13">
        <f t="shared" si="123"/>
        <v>14392.140000000003</v>
      </c>
    </row>
    <row r="3361" spans="1:10" x14ac:dyDescent="0.25">
      <c r="A3361" s="10">
        <v>40147</v>
      </c>
      <c r="B3361" s="11" t="s">
        <v>2</v>
      </c>
      <c r="C3361" s="11" t="s">
        <v>5</v>
      </c>
      <c r="D3361" s="16" t="str">
        <f>HYPERLINK("https://freddywills.com/pick/5706/patriots-1-5.html", "Patriots +1.5")</f>
        <v>Patriots +1.5</v>
      </c>
      <c r="E3361" s="11">
        <v>4.5</v>
      </c>
      <c r="F3361" s="11">
        <v>-1.1000000000000001</v>
      </c>
      <c r="G3361" s="11" t="s">
        <v>6</v>
      </c>
      <c r="H3361" s="13">
        <v>-4500</v>
      </c>
      <c r="I3361" s="20">
        <f t="shared" si="122"/>
        <v>0.17892140000000006</v>
      </c>
      <c r="J3361" s="13">
        <f t="shared" si="123"/>
        <v>17892.140000000003</v>
      </c>
    </row>
    <row r="3362" spans="1:10" x14ac:dyDescent="0.25">
      <c r="A3362" s="10">
        <v>40147</v>
      </c>
      <c r="B3362" s="11" t="s">
        <v>2</v>
      </c>
      <c r="C3362" s="11" t="s">
        <v>12</v>
      </c>
      <c r="D3362" s="16" t="str">
        <f>HYPERLINK("https://freddywills.com/pick/5707/pats-3-over-28-parlay-2h.html", "Pats -3 + Over 28 Parlay 2H")</f>
        <v>Pats -3 + Over 28 Parlay 2H</v>
      </c>
      <c r="E3362" s="11">
        <v>2.5</v>
      </c>
      <c r="F3362" s="11">
        <v>2.64</v>
      </c>
      <c r="G3362" s="11" t="s">
        <v>6</v>
      </c>
      <c r="H3362" s="13">
        <v>-2500</v>
      </c>
      <c r="I3362" s="20">
        <f t="shared" si="122"/>
        <v>0.22392140000000008</v>
      </c>
      <c r="J3362" s="13">
        <f t="shared" si="123"/>
        <v>22392.140000000003</v>
      </c>
    </row>
    <row r="3363" spans="1:10" x14ac:dyDescent="0.25">
      <c r="A3363" s="10">
        <v>40146</v>
      </c>
      <c r="B3363" s="11" t="s">
        <v>2</v>
      </c>
      <c r="C3363" s="11" t="s">
        <v>5</v>
      </c>
      <c r="D3363" s="16" t="str">
        <f>HYPERLINK("https://freddywills.com/pick/5708/seahawks-4.html", "Seahawks -4")</f>
        <v>Seahawks -4</v>
      </c>
      <c r="E3363" s="11">
        <v>3.3</v>
      </c>
      <c r="F3363" s="11">
        <v>-1.1000000000000001</v>
      </c>
      <c r="G3363" s="11" t="s">
        <v>4</v>
      </c>
      <c r="H3363" s="13">
        <v>3000</v>
      </c>
      <c r="I3363" s="20">
        <f t="shared" si="122"/>
        <v>0.24892140000000007</v>
      </c>
      <c r="J3363" s="13">
        <f t="shared" si="123"/>
        <v>24892.140000000003</v>
      </c>
    </row>
    <row r="3364" spans="1:10" x14ac:dyDescent="0.25">
      <c r="A3364" s="10">
        <v>40146</v>
      </c>
      <c r="B3364" s="11" t="s">
        <v>2</v>
      </c>
      <c r="C3364" s="11" t="s">
        <v>5</v>
      </c>
      <c r="D3364" s="16" t="str">
        <f>HYPERLINK("https://freddywills.com/pick/5709/titans-2.html", "Titans -2")</f>
        <v>Titans -2</v>
      </c>
      <c r="E3364" s="11">
        <v>4.5</v>
      </c>
      <c r="F3364" s="11">
        <v>-1.1000000000000001</v>
      </c>
      <c r="G3364" s="11" t="s">
        <v>4</v>
      </c>
      <c r="H3364" s="13">
        <v>4090.91</v>
      </c>
      <c r="I3364" s="20">
        <f t="shared" si="122"/>
        <v>0.21892140000000007</v>
      </c>
      <c r="J3364" s="13">
        <f t="shared" si="123"/>
        <v>21892.140000000003</v>
      </c>
    </row>
    <row r="3365" spans="1:10" x14ac:dyDescent="0.25">
      <c r="A3365" s="10">
        <v>40145</v>
      </c>
      <c r="B3365" s="11" t="s">
        <v>8</v>
      </c>
      <c r="C3365" s="11" t="s">
        <v>5</v>
      </c>
      <c r="D3365" s="16" t="str">
        <f>HYPERLINK("https://freddywills.com/pick/5711/kentucky-3-100.html", "Kentucky +3 +100")</f>
        <v>Kentucky +3 +100</v>
      </c>
      <c r="E3365" s="11">
        <v>4.5</v>
      </c>
      <c r="F3365" s="11">
        <v>1</v>
      </c>
      <c r="G3365" s="11" t="s">
        <v>6</v>
      </c>
      <c r="H3365" s="13">
        <v>-4500</v>
      </c>
      <c r="I3365" s="20">
        <f t="shared" si="122"/>
        <v>0.17801230000000007</v>
      </c>
      <c r="J3365" s="13">
        <f t="shared" si="123"/>
        <v>17801.230000000003</v>
      </c>
    </row>
    <row r="3366" spans="1:10" x14ac:dyDescent="0.25">
      <c r="A3366" s="10">
        <v>40145</v>
      </c>
      <c r="B3366" s="11" t="s">
        <v>8</v>
      </c>
      <c r="C3366" s="11" t="s">
        <v>5</v>
      </c>
      <c r="D3366" s="16" t="str">
        <f>HYPERLINK("https://freddywills.com/pick/5712/kansas-3.html", "Kansas +3")</f>
        <v>Kansas +3</v>
      </c>
      <c r="E3366" s="11">
        <v>3.5</v>
      </c>
      <c r="F3366" s="11">
        <v>-1.1000000000000001</v>
      </c>
      <c r="G3366" s="11" t="s">
        <v>4</v>
      </c>
      <c r="H3366" s="13">
        <v>3181.82</v>
      </c>
      <c r="I3366" s="20">
        <f t="shared" si="122"/>
        <v>0.22301230000000005</v>
      </c>
      <c r="J3366" s="13">
        <f t="shared" si="123"/>
        <v>22301.230000000003</v>
      </c>
    </row>
    <row r="3367" spans="1:10" x14ac:dyDescent="0.25">
      <c r="A3367" s="10">
        <v>40145</v>
      </c>
      <c r="B3367" s="11" t="s">
        <v>8</v>
      </c>
      <c r="C3367" s="11" t="s">
        <v>5</v>
      </c>
      <c r="D3367" s="16" t="str">
        <f>HYPERLINK("https://freddywills.com/pick/5713/marshall-2.html", "Marshall +2")</f>
        <v>Marshall +2</v>
      </c>
      <c r="E3367" s="11">
        <v>4</v>
      </c>
      <c r="F3367" s="11">
        <v>-1.1000000000000001</v>
      </c>
      <c r="G3367" s="11" t="s">
        <v>6</v>
      </c>
      <c r="H3367" s="13">
        <v>-4000</v>
      </c>
      <c r="I3367" s="20">
        <f t="shared" si="122"/>
        <v>0.19119410000000003</v>
      </c>
      <c r="J3367" s="13">
        <f t="shared" si="123"/>
        <v>19119.410000000003</v>
      </c>
    </row>
    <row r="3368" spans="1:10" x14ac:dyDescent="0.25">
      <c r="A3368" s="10">
        <v>40145</v>
      </c>
      <c r="B3368" s="11" t="s">
        <v>8</v>
      </c>
      <c r="C3368" s="11" t="s">
        <v>5</v>
      </c>
      <c r="D3368" s="16" t="str">
        <f>HYPERLINK("https://freddywills.com/pick/5714/ucf-3-107.html", "UCF -3 -107")</f>
        <v>UCF -3 -107</v>
      </c>
      <c r="E3368" s="11">
        <v>3</v>
      </c>
      <c r="F3368" s="11">
        <v>-1.07</v>
      </c>
      <c r="G3368" s="11" t="s">
        <v>4</v>
      </c>
      <c r="H3368" s="13">
        <v>2803.74</v>
      </c>
      <c r="I3368" s="20">
        <f t="shared" si="122"/>
        <v>0.23119410000000004</v>
      </c>
      <c r="J3368" s="13">
        <f t="shared" si="123"/>
        <v>23119.410000000003</v>
      </c>
    </row>
    <row r="3369" spans="1:10" x14ac:dyDescent="0.25">
      <c r="A3369" s="10">
        <v>40145</v>
      </c>
      <c r="B3369" s="11" t="s">
        <v>8</v>
      </c>
      <c r="C3369" s="11" t="s">
        <v>5</v>
      </c>
      <c r="D3369" s="16" t="str">
        <f>HYPERLINK("https://freddywills.com/pick/5715/uconn-13-5.html", "Uconn -13.5")</f>
        <v>Uconn -13.5</v>
      </c>
      <c r="E3369" s="11">
        <v>1</v>
      </c>
      <c r="F3369" s="11">
        <v>-1.1000000000000001</v>
      </c>
      <c r="G3369" s="11" t="s">
        <v>4</v>
      </c>
      <c r="H3369" s="13">
        <v>909.09</v>
      </c>
      <c r="I3369" s="20">
        <f t="shared" si="122"/>
        <v>0.20315670000000005</v>
      </c>
      <c r="J3369" s="13">
        <f t="shared" si="123"/>
        <v>20315.670000000006</v>
      </c>
    </row>
    <row r="3370" spans="1:10" x14ac:dyDescent="0.25">
      <c r="A3370" s="10">
        <v>40145</v>
      </c>
      <c r="B3370" s="11" t="s">
        <v>8</v>
      </c>
      <c r="C3370" s="11" t="s">
        <v>5</v>
      </c>
      <c r="D3370" s="16" t="str">
        <f>HYPERLINK("https://freddywills.com/pick/5716/unc-5-5.html", "UNC -5.5")</f>
        <v>UNC -5.5</v>
      </c>
      <c r="E3370" s="11">
        <v>3.5</v>
      </c>
      <c r="F3370" s="11">
        <v>-1.1000000000000001</v>
      </c>
      <c r="G3370" s="11" t="s">
        <v>6</v>
      </c>
      <c r="H3370" s="13">
        <v>-3500</v>
      </c>
      <c r="I3370" s="20">
        <f t="shared" si="122"/>
        <v>0.19406580000000004</v>
      </c>
      <c r="J3370" s="13">
        <f t="shared" si="123"/>
        <v>19406.580000000005</v>
      </c>
    </row>
    <row r="3371" spans="1:10" x14ac:dyDescent="0.25">
      <c r="A3371" s="10">
        <v>40144</v>
      </c>
      <c r="B3371" s="11" t="s">
        <v>8</v>
      </c>
      <c r="C3371" s="11" t="s">
        <v>5</v>
      </c>
      <c r="D3371" s="16" t="str">
        <f>HYPERLINK("https://freddywills.com/pick/5717/ohio-3.html", "Ohio +3")</f>
        <v>Ohio +3</v>
      </c>
      <c r="E3371" s="11">
        <v>4.5</v>
      </c>
      <c r="F3371" s="11">
        <v>-1.1000000000000001</v>
      </c>
      <c r="G3371" s="11" t="s">
        <v>4</v>
      </c>
      <c r="H3371" s="13">
        <v>4090.91</v>
      </c>
      <c r="I3371" s="20">
        <f t="shared" si="122"/>
        <v>0.22906580000000004</v>
      </c>
      <c r="J3371" s="13">
        <f t="shared" si="123"/>
        <v>22906.580000000005</v>
      </c>
    </row>
    <row r="3372" spans="1:10" x14ac:dyDescent="0.25">
      <c r="A3372" s="10">
        <v>40144</v>
      </c>
      <c r="B3372" s="11" t="s">
        <v>8</v>
      </c>
      <c r="C3372" s="11" t="s">
        <v>5</v>
      </c>
      <c r="D3372" s="16" t="str">
        <f>HYPERLINK("https://freddywills.com/pick/5718/bowling-green-7.html", "Bowling Green -7")</f>
        <v>Bowling Green -7</v>
      </c>
      <c r="E3372" s="11">
        <v>4</v>
      </c>
      <c r="F3372" s="11">
        <v>-1.1000000000000001</v>
      </c>
      <c r="G3372" s="11" t="s">
        <v>4</v>
      </c>
      <c r="H3372" s="13">
        <v>3636.36</v>
      </c>
      <c r="I3372" s="20">
        <f t="shared" si="122"/>
        <v>0.18815670000000004</v>
      </c>
      <c r="J3372" s="13">
        <f t="shared" si="123"/>
        <v>18815.670000000006</v>
      </c>
    </row>
    <row r="3373" spans="1:10" x14ac:dyDescent="0.25">
      <c r="A3373" s="10">
        <v>40144</v>
      </c>
      <c r="B3373" s="11" t="s">
        <v>8</v>
      </c>
      <c r="C3373" s="11" t="s">
        <v>5</v>
      </c>
      <c r="D3373" s="16" t="str">
        <f>HYPERLINK("https://freddywills.com/pick/5719/west-virginia-1-5.html", "West Virginia +1.5")</f>
        <v>West Virginia +1.5</v>
      </c>
      <c r="E3373" s="11">
        <v>3.5</v>
      </c>
      <c r="F3373" s="11">
        <v>-1.1000000000000001</v>
      </c>
      <c r="G3373" s="11" t="s">
        <v>4</v>
      </c>
      <c r="H3373" s="13">
        <v>3181.82</v>
      </c>
      <c r="I3373" s="20">
        <f t="shared" si="122"/>
        <v>0.15179310000000004</v>
      </c>
      <c r="J3373" s="13">
        <f t="shared" si="123"/>
        <v>15179.310000000005</v>
      </c>
    </row>
    <row r="3374" spans="1:10" x14ac:dyDescent="0.25">
      <c r="A3374" s="10">
        <v>40143</v>
      </c>
      <c r="B3374" s="11" t="s">
        <v>2</v>
      </c>
      <c r="C3374" s="11" t="s">
        <v>5</v>
      </c>
      <c r="D3374" s="16" t="str">
        <f>HYPERLINK("https://freddywills.com/pick/5722/packers-11-108.html", "Packers -11 -108")</f>
        <v>Packers -11 -108</v>
      </c>
      <c r="E3374" s="11">
        <v>4</v>
      </c>
      <c r="F3374" s="11">
        <v>-1.08</v>
      </c>
      <c r="G3374" s="11" t="s">
        <v>4</v>
      </c>
      <c r="H3374" s="13">
        <v>3703.7</v>
      </c>
      <c r="I3374" s="20">
        <f t="shared" si="122"/>
        <v>0.11997490000000004</v>
      </c>
      <c r="J3374" s="13">
        <f t="shared" si="123"/>
        <v>11997.490000000005</v>
      </c>
    </row>
    <row r="3375" spans="1:10" x14ac:dyDescent="0.25">
      <c r="A3375" s="10">
        <v>40143</v>
      </c>
      <c r="B3375" s="11" t="s">
        <v>2</v>
      </c>
      <c r="C3375" s="11" t="s">
        <v>7</v>
      </c>
      <c r="D3375" s="16" t="str">
        <f>HYPERLINK("https://freddywills.com/pick/5723/packers-o47-5.html", "Packers O47.5")</f>
        <v>Packers O47.5</v>
      </c>
      <c r="E3375" s="11">
        <v>2</v>
      </c>
      <c r="F3375" s="11">
        <v>-1.1000000000000001</v>
      </c>
      <c r="G3375" s="11" t="s">
        <v>6</v>
      </c>
      <c r="H3375" s="13">
        <v>-2000</v>
      </c>
      <c r="I3375" s="20">
        <f t="shared" si="122"/>
        <v>8.2937900000000037E-2</v>
      </c>
      <c r="J3375" s="13">
        <f t="shared" si="123"/>
        <v>8293.7900000000045</v>
      </c>
    </row>
    <row r="3376" spans="1:10" x14ac:dyDescent="0.25">
      <c r="A3376" s="10">
        <v>40143</v>
      </c>
      <c r="B3376" s="11" t="s">
        <v>2</v>
      </c>
      <c r="C3376" s="11" t="s">
        <v>5</v>
      </c>
      <c r="D3376" s="16" t="str">
        <f>HYPERLINK("https://freddywills.com/pick/5724/raiders-14.html", "Raiders +14")</f>
        <v>Raiders +14</v>
      </c>
      <c r="E3376" s="11">
        <v>1.5</v>
      </c>
      <c r="F3376" s="11">
        <v>-1.1000000000000001</v>
      </c>
      <c r="G3376" s="11" t="s">
        <v>6</v>
      </c>
      <c r="H3376" s="13">
        <v>-1500</v>
      </c>
      <c r="I3376" s="20">
        <f t="shared" si="122"/>
        <v>0.10293790000000004</v>
      </c>
      <c r="J3376" s="13">
        <f t="shared" si="123"/>
        <v>10293.790000000005</v>
      </c>
    </row>
    <row r="3377" spans="1:10" x14ac:dyDescent="0.25">
      <c r="A3377" s="10">
        <v>40143</v>
      </c>
      <c r="B3377" s="11" t="s">
        <v>2</v>
      </c>
      <c r="C3377" s="11" t="s">
        <v>5</v>
      </c>
      <c r="D3377" s="16" t="str">
        <f>HYPERLINK("https://freddywills.com/pick/5725/giants-6.html", "Giants -6")</f>
        <v>Giants -6</v>
      </c>
      <c r="E3377" s="11">
        <v>3.5</v>
      </c>
      <c r="F3377" s="11">
        <v>-1.1000000000000001</v>
      </c>
      <c r="G3377" s="11" t="s">
        <v>6</v>
      </c>
      <c r="H3377" s="13">
        <v>-3500</v>
      </c>
      <c r="I3377" s="20">
        <f t="shared" si="122"/>
        <v>0.11793790000000004</v>
      </c>
      <c r="J3377" s="13">
        <f t="shared" si="123"/>
        <v>11793.790000000005</v>
      </c>
    </row>
    <row r="3378" spans="1:10" x14ac:dyDescent="0.25">
      <c r="A3378" s="10">
        <v>40141</v>
      </c>
      <c r="B3378" s="11" t="s">
        <v>8</v>
      </c>
      <c r="C3378" s="11" t="s">
        <v>5</v>
      </c>
      <c r="D3378" s="16" t="str">
        <f>HYPERLINK("https://freddywills.com/pick/5728/wmich-11.html", "Wmich -11")</f>
        <v>Wmich -11</v>
      </c>
      <c r="E3378" s="11">
        <v>2.5</v>
      </c>
      <c r="F3378" s="11">
        <v>-1.1000000000000001</v>
      </c>
      <c r="G3378" s="11" t="s">
        <v>6</v>
      </c>
      <c r="H3378" s="13">
        <v>-2500</v>
      </c>
      <c r="I3378" s="20">
        <f t="shared" si="122"/>
        <v>0.15293790000000004</v>
      </c>
      <c r="J3378" s="13">
        <f t="shared" si="123"/>
        <v>15293.790000000005</v>
      </c>
    </row>
    <row r="3379" spans="1:10" x14ac:dyDescent="0.25">
      <c r="A3379" s="10">
        <v>40140</v>
      </c>
      <c r="B3379" s="11" t="s">
        <v>2</v>
      </c>
      <c r="C3379" s="11" t="s">
        <v>5</v>
      </c>
      <c r="D3379" s="16" t="str">
        <f>HYPERLINK("https://freddywills.com/pick/5735/titans-4.html", "Titans +4")</f>
        <v>Titans +4</v>
      </c>
      <c r="E3379" s="11">
        <v>3.5</v>
      </c>
      <c r="F3379" s="11">
        <v>-1.1000000000000001</v>
      </c>
      <c r="G3379" s="11" t="s">
        <v>4</v>
      </c>
      <c r="H3379" s="13">
        <v>3181.82</v>
      </c>
      <c r="I3379" s="20">
        <f t="shared" si="122"/>
        <v>0.17793790000000004</v>
      </c>
      <c r="J3379" s="13">
        <f t="shared" si="123"/>
        <v>17793.790000000005</v>
      </c>
    </row>
    <row r="3380" spans="1:10" x14ac:dyDescent="0.25">
      <c r="A3380" s="10">
        <v>40139</v>
      </c>
      <c r="B3380" s="11" t="s">
        <v>2</v>
      </c>
      <c r="C3380" s="11" t="s">
        <v>5</v>
      </c>
      <c r="D3380" s="16" t="str">
        <f>HYPERLINK("https://freddywills.com/pick/5737/49ers-7.html", "49ers +7")</f>
        <v>49ers +7</v>
      </c>
      <c r="E3380" s="11">
        <v>4</v>
      </c>
      <c r="F3380" s="11">
        <v>-1.1000000000000001</v>
      </c>
      <c r="G3380" s="11" t="s">
        <v>4</v>
      </c>
      <c r="H3380" s="13">
        <v>3636.36</v>
      </c>
      <c r="I3380" s="20">
        <f t="shared" si="122"/>
        <v>0.14611970000000005</v>
      </c>
      <c r="J3380" s="13">
        <f t="shared" si="123"/>
        <v>14611.970000000003</v>
      </c>
    </row>
    <row r="3381" spans="1:10" x14ac:dyDescent="0.25">
      <c r="A3381" s="10">
        <v>40139</v>
      </c>
      <c r="B3381" s="11" t="s">
        <v>2</v>
      </c>
      <c r="C3381" s="11" t="s">
        <v>5</v>
      </c>
      <c r="D3381" s="16" t="str">
        <f>HYPERLINK("https://freddywills.com/pick/5738/eagles-3.html", "Eagles -3")</f>
        <v>Eagles -3</v>
      </c>
      <c r="E3381" s="11">
        <v>3</v>
      </c>
      <c r="F3381" s="11">
        <v>-1.1000000000000001</v>
      </c>
      <c r="G3381" s="11" t="s">
        <v>4</v>
      </c>
      <c r="H3381" s="13">
        <v>2727.27</v>
      </c>
      <c r="I3381" s="20">
        <f t="shared" si="122"/>
        <v>0.10975610000000004</v>
      </c>
      <c r="J3381" s="13">
        <f t="shared" si="123"/>
        <v>10975.610000000002</v>
      </c>
    </row>
    <row r="3382" spans="1:10" x14ac:dyDescent="0.25">
      <c r="A3382" s="10">
        <v>40138</v>
      </c>
      <c r="B3382" s="11" t="s">
        <v>8</v>
      </c>
      <c r="C3382" s="11" t="s">
        <v>5</v>
      </c>
      <c r="D3382" s="16" t="str">
        <f>HYPERLINK("https://freddywills.com/pick/5739/hawaii-2-5.html", "Hawaii -2.5")</f>
        <v>Hawaii -2.5</v>
      </c>
      <c r="E3382" s="11">
        <v>3</v>
      </c>
      <c r="F3382" s="11">
        <v>-1.1000000000000001</v>
      </c>
      <c r="G3382" s="11" t="s">
        <v>4</v>
      </c>
      <c r="H3382" s="13">
        <v>2727.27</v>
      </c>
      <c r="I3382" s="20">
        <f t="shared" si="122"/>
        <v>8.248340000000004E-2</v>
      </c>
      <c r="J3382" s="13">
        <f t="shared" si="123"/>
        <v>8248.340000000002</v>
      </c>
    </row>
    <row r="3383" spans="1:10" x14ac:dyDescent="0.25">
      <c r="A3383" s="10">
        <v>40138</v>
      </c>
      <c r="B3383" s="11" t="s">
        <v>8</v>
      </c>
      <c r="C3383" s="11" t="s">
        <v>5</v>
      </c>
      <c r="D3383" s="16" t="str">
        <f>HYPERLINK("https://freddywills.com/pick/5740/la-monroe-3.html", "LA MONROE -3")</f>
        <v>LA MONROE -3</v>
      </c>
      <c r="E3383" s="11">
        <v>1</v>
      </c>
      <c r="F3383" s="11">
        <v>-1.1000000000000001</v>
      </c>
      <c r="G3383" s="11" t="s">
        <v>6</v>
      </c>
      <c r="H3383" s="13">
        <v>-1000</v>
      </c>
      <c r="I3383" s="20">
        <f t="shared" si="122"/>
        <v>5.5210700000000036E-2</v>
      </c>
      <c r="J3383" s="13">
        <f t="shared" si="123"/>
        <v>5521.0700000000015</v>
      </c>
    </row>
    <row r="3384" spans="1:10" x14ac:dyDescent="0.25">
      <c r="A3384" s="10">
        <v>40138</v>
      </c>
      <c r="B3384" s="11" t="s">
        <v>8</v>
      </c>
      <c r="C3384" s="11" t="s">
        <v>18</v>
      </c>
      <c r="D3384" s="16" t="str">
        <f>HYPERLINK("https://freddywills.com/pick/5741/army-115.html", "Army +115")</f>
        <v>Army +115</v>
      </c>
      <c r="E3384" s="11">
        <v>3.5</v>
      </c>
      <c r="F3384" s="11">
        <v>1.1499999999999999</v>
      </c>
      <c r="G3384" s="11" t="s">
        <v>4</v>
      </c>
      <c r="H3384" s="13">
        <v>4025</v>
      </c>
      <c r="I3384" s="20">
        <f t="shared" si="122"/>
        <v>6.5210700000000038E-2</v>
      </c>
      <c r="J3384" s="13">
        <f t="shared" si="123"/>
        <v>6521.0700000000015</v>
      </c>
    </row>
    <row r="3385" spans="1:10" x14ac:dyDescent="0.25">
      <c r="A3385" s="10">
        <v>40138</v>
      </c>
      <c r="B3385" s="11" t="s">
        <v>8</v>
      </c>
      <c r="C3385" s="11" t="s">
        <v>5</v>
      </c>
      <c r="D3385" s="16" t="str">
        <f>HYPERLINK("https://freddywills.com/pick/5742/rutgers-8.html", "Rutgers -8")</f>
        <v>Rutgers -8</v>
      </c>
      <c r="E3385" s="11">
        <v>4.5</v>
      </c>
      <c r="F3385" s="11">
        <v>-1.1000000000000001</v>
      </c>
      <c r="G3385" s="11" t="s">
        <v>6</v>
      </c>
      <c r="H3385" s="13">
        <v>-4500</v>
      </c>
      <c r="I3385" s="20">
        <f t="shared" si="122"/>
        <v>2.496070000000003E-2</v>
      </c>
      <c r="J3385" s="13">
        <f t="shared" si="123"/>
        <v>2496.0700000000015</v>
      </c>
    </row>
    <row r="3386" spans="1:10" x14ac:dyDescent="0.25">
      <c r="A3386" s="10">
        <v>40138</v>
      </c>
      <c r="B3386" s="11" t="s">
        <v>8</v>
      </c>
      <c r="C3386" s="11" t="s">
        <v>5</v>
      </c>
      <c r="D3386" s="16" t="str">
        <f>HYPERLINK("https://freddywills.com/pick/5743/uconn-7-120.html", "Uconn +7 -120")</f>
        <v>Uconn +7 -120</v>
      </c>
      <c r="E3386" s="11">
        <v>3.5</v>
      </c>
      <c r="F3386" s="11">
        <v>-1.2</v>
      </c>
      <c r="G3386" s="11" t="s">
        <v>4</v>
      </c>
      <c r="H3386" s="13">
        <v>2916.67</v>
      </c>
      <c r="I3386" s="20">
        <f t="shared" si="122"/>
        <v>6.9960700000000028E-2</v>
      </c>
      <c r="J3386" s="13">
        <f t="shared" si="123"/>
        <v>6996.0700000000015</v>
      </c>
    </row>
    <row r="3387" spans="1:10" x14ac:dyDescent="0.25">
      <c r="A3387" s="10">
        <v>40138</v>
      </c>
      <c r="B3387" s="11" t="s">
        <v>8</v>
      </c>
      <c r="C3387" s="11" t="s">
        <v>5</v>
      </c>
      <c r="D3387" s="16" t="str">
        <f>HYPERLINK("https://freddywills.com/pick/5744/indiana-3.html", "Indiana +3")</f>
        <v>Indiana +3</v>
      </c>
      <c r="E3387" s="11">
        <v>3</v>
      </c>
      <c r="F3387" s="11">
        <v>-1.1000000000000001</v>
      </c>
      <c r="G3387" s="11" t="s">
        <v>6</v>
      </c>
      <c r="H3387" s="13">
        <v>-3000</v>
      </c>
      <c r="I3387" s="20">
        <f t="shared" si="122"/>
        <v>4.0794000000000025E-2</v>
      </c>
      <c r="J3387" s="13">
        <f t="shared" si="123"/>
        <v>4079.4000000000015</v>
      </c>
    </row>
    <row r="3388" spans="1:10" x14ac:dyDescent="0.25">
      <c r="A3388" s="10">
        <v>40138</v>
      </c>
      <c r="B3388" s="11" t="s">
        <v>8</v>
      </c>
      <c r="C3388" s="11" t="s">
        <v>5</v>
      </c>
      <c r="D3388" s="16" t="str">
        <f>HYPERLINK("https://freddywills.com/pick/5745/unc-3-5.html", "UNC +3.5")</f>
        <v>UNC +3.5</v>
      </c>
      <c r="E3388" s="11">
        <v>3</v>
      </c>
      <c r="F3388" s="11">
        <v>-1.1000000000000001</v>
      </c>
      <c r="G3388" s="11" t="s">
        <v>4</v>
      </c>
      <c r="H3388" s="13">
        <v>2727.27</v>
      </c>
      <c r="I3388" s="20">
        <f t="shared" si="122"/>
        <v>7.0794000000000024E-2</v>
      </c>
      <c r="J3388" s="13">
        <f t="shared" si="123"/>
        <v>7079.4000000000015</v>
      </c>
    </row>
    <row r="3389" spans="1:10" x14ac:dyDescent="0.25">
      <c r="A3389" s="10">
        <v>40138</v>
      </c>
      <c r="B3389" s="11" t="s">
        <v>8</v>
      </c>
      <c r="C3389" s="11" t="s">
        <v>5</v>
      </c>
      <c r="D3389" s="16" t="str">
        <f>HYPERLINK("https://freddywills.com/pick/5746/oklahoma-6-5.html", "Oklahoma -6.5")</f>
        <v>Oklahoma -6.5</v>
      </c>
      <c r="E3389" s="11">
        <v>4</v>
      </c>
      <c r="F3389" s="11">
        <v>-1.1000000000000001</v>
      </c>
      <c r="G3389" s="11" t="s">
        <v>6</v>
      </c>
      <c r="H3389" s="13">
        <v>-4000</v>
      </c>
      <c r="I3389" s="20">
        <f t="shared" si="122"/>
        <v>4.352130000000002E-2</v>
      </c>
      <c r="J3389" s="13">
        <f t="shared" si="123"/>
        <v>4352.130000000001</v>
      </c>
    </row>
    <row r="3390" spans="1:10" x14ac:dyDescent="0.25">
      <c r="A3390" s="10">
        <v>40136</v>
      </c>
      <c r="B3390" s="11" t="s">
        <v>2</v>
      </c>
      <c r="C3390" s="11" t="s">
        <v>5</v>
      </c>
      <c r="D3390" s="16" t="str">
        <f>HYPERLINK("https://freddywills.com/pick/5749/panthers-3.html", "Panthers -3")</f>
        <v>Panthers -3</v>
      </c>
      <c r="E3390" s="11">
        <v>3.5</v>
      </c>
      <c r="F3390" s="11">
        <v>-1.1000000000000001</v>
      </c>
      <c r="G3390" s="11" t="s">
        <v>6</v>
      </c>
      <c r="H3390" s="13">
        <v>-3500</v>
      </c>
      <c r="I3390" s="20">
        <f t="shared" si="122"/>
        <v>8.3521300000000021E-2</v>
      </c>
      <c r="J3390" s="13">
        <f t="shared" si="123"/>
        <v>8352.130000000001</v>
      </c>
    </row>
    <row r="3391" spans="1:10" x14ac:dyDescent="0.25">
      <c r="A3391" s="10">
        <v>40135</v>
      </c>
      <c r="B3391" s="11" t="s">
        <v>8</v>
      </c>
      <c r="C3391" s="11" t="s">
        <v>10</v>
      </c>
      <c r="D3391" s="16" t="str">
        <f>HYPERLINK("https://freddywills.com/pick/5753/mia-oh-10-cmich-8-5.html", "Mia OH +10/ Cmich -8.5")</f>
        <v>Mia OH +10/ Cmich -8.5</v>
      </c>
      <c r="E3391" s="11">
        <v>4</v>
      </c>
      <c r="F3391" s="11">
        <v>-1.1000000000000001</v>
      </c>
      <c r="G3391" s="11" t="s">
        <v>6</v>
      </c>
      <c r="H3391" s="13">
        <v>-4000</v>
      </c>
      <c r="I3391" s="20">
        <f t="shared" si="122"/>
        <v>0.11852130000000002</v>
      </c>
      <c r="J3391" s="13">
        <f t="shared" si="123"/>
        <v>11852.130000000001</v>
      </c>
    </row>
    <row r="3392" spans="1:10" x14ac:dyDescent="0.25">
      <c r="A3392" s="10">
        <v>40133</v>
      </c>
      <c r="B3392" s="11" t="s">
        <v>2</v>
      </c>
      <c r="C3392" s="11" t="s">
        <v>5</v>
      </c>
      <c r="D3392" s="16" t="str">
        <f>HYPERLINK("https://freddywills.com/pick/5761/ravens-10.html", "Ravens -10")</f>
        <v>Ravens -10</v>
      </c>
      <c r="E3392" s="11">
        <v>3.5</v>
      </c>
      <c r="F3392" s="11">
        <v>-1.1000000000000001</v>
      </c>
      <c r="G3392" s="11" t="s">
        <v>4</v>
      </c>
      <c r="H3392" s="13">
        <v>3181.82</v>
      </c>
      <c r="I3392" s="20">
        <f t="shared" si="122"/>
        <v>0.15852130000000003</v>
      </c>
      <c r="J3392" s="13">
        <f t="shared" si="123"/>
        <v>15852.130000000001</v>
      </c>
    </row>
    <row r="3393" spans="1:10" x14ac:dyDescent="0.25">
      <c r="A3393" s="10">
        <v>40132</v>
      </c>
      <c r="B3393" s="11" t="s">
        <v>8</v>
      </c>
      <c r="C3393" s="11" t="s">
        <v>5</v>
      </c>
      <c r="D3393" s="16" t="str">
        <f>HYPERLINK("https://freddywills.com/pick/5766/ecu-4-106.html", "ECU +4 @ -106")</f>
        <v>ECU +4 @ -106</v>
      </c>
      <c r="E3393" s="11">
        <v>4</v>
      </c>
      <c r="F3393" s="11">
        <v>-1.06</v>
      </c>
      <c r="G3393" s="11" t="s">
        <v>4</v>
      </c>
      <c r="H3393" s="13">
        <v>3773.58</v>
      </c>
      <c r="I3393" s="20">
        <f t="shared" si="122"/>
        <v>0.12670310000000001</v>
      </c>
      <c r="J3393" s="13">
        <f t="shared" si="123"/>
        <v>12670.310000000001</v>
      </c>
    </row>
    <row r="3394" spans="1:10" x14ac:dyDescent="0.25">
      <c r="A3394" s="10">
        <v>40132</v>
      </c>
      <c r="B3394" s="11" t="s">
        <v>2</v>
      </c>
      <c r="C3394" s="11" t="s">
        <v>5</v>
      </c>
      <c r="D3394" s="16" t="str">
        <f>HYPERLINK("https://freddywills.com/pick/5767/chargers-pk.html", "Chargers pk")</f>
        <v>Chargers pk</v>
      </c>
      <c r="E3394" s="11">
        <v>4.5</v>
      </c>
      <c r="F3394" s="11">
        <v>-1.1000000000000001</v>
      </c>
      <c r="G3394" s="11" t="s">
        <v>4</v>
      </c>
      <c r="H3394" s="13">
        <v>4090.91</v>
      </c>
      <c r="I3394" s="20">
        <f t="shared" si="122"/>
        <v>8.8967300000000027E-2</v>
      </c>
      <c r="J3394" s="13">
        <f t="shared" si="123"/>
        <v>8896.7300000000014</v>
      </c>
    </row>
    <row r="3395" spans="1:10" x14ac:dyDescent="0.25">
      <c r="A3395" s="10">
        <v>40132</v>
      </c>
      <c r="B3395" s="11" t="s">
        <v>2</v>
      </c>
      <c r="C3395" s="11" t="s">
        <v>5</v>
      </c>
      <c r="D3395" s="16" t="str">
        <f>HYPERLINK("https://freddywills.com/pick/5768/panthers-1.html", "Panthers +1")</f>
        <v>Panthers +1</v>
      </c>
      <c r="E3395" s="11">
        <v>4</v>
      </c>
      <c r="F3395" s="11">
        <v>-1.1000000000000001</v>
      </c>
      <c r="G3395" s="11" t="s">
        <v>4</v>
      </c>
      <c r="H3395" s="13">
        <v>3636.36</v>
      </c>
      <c r="I3395" s="20">
        <f t="shared" si="122"/>
        <v>4.805820000000003E-2</v>
      </c>
      <c r="J3395" s="13">
        <f t="shared" si="123"/>
        <v>4805.8200000000015</v>
      </c>
    </row>
    <row r="3396" spans="1:10" x14ac:dyDescent="0.25">
      <c r="A3396" s="10">
        <v>40132</v>
      </c>
      <c r="B3396" s="11" t="s">
        <v>2</v>
      </c>
      <c r="C3396" s="11" t="s">
        <v>5</v>
      </c>
      <c r="D3396" s="16" t="str">
        <f>HYPERLINK("https://freddywills.com/pick/5769/dolphins-10.html", "Dolphins -10")</f>
        <v>Dolphins -10</v>
      </c>
      <c r="E3396" s="11">
        <v>3</v>
      </c>
      <c r="F3396" s="11">
        <v>-1.1000000000000001</v>
      </c>
      <c r="G3396" s="11" t="s">
        <v>6</v>
      </c>
      <c r="H3396" s="13">
        <v>-3000</v>
      </c>
      <c r="I3396" s="20">
        <f t="shared" si="122"/>
        <v>1.1694600000000027E-2</v>
      </c>
      <c r="J3396" s="13">
        <f t="shared" si="123"/>
        <v>1169.4600000000009</v>
      </c>
    </row>
    <row r="3397" spans="1:10" x14ac:dyDescent="0.25">
      <c r="A3397" s="10">
        <v>40131</v>
      </c>
      <c r="B3397" s="11" t="s">
        <v>8</v>
      </c>
      <c r="C3397" s="11" t="s">
        <v>5</v>
      </c>
      <c r="D3397" s="16" t="str">
        <f>HYPERLINK("https://freddywills.com/pick/5770/illinois-3-5.html", "Illinois -3.5")</f>
        <v>Illinois -3.5</v>
      </c>
      <c r="E3397" s="11">
        <v>3</v>
      </c>
      <c r="F3397" s="11">
        <v>-1.1000000000000001</v>
      </c>
      <c r="G3397" s="11" t="s">
        <v>6</v>
      </c>
      <c r="H3397" s="13">
        <v>-3000</v>
      </c>
      <c r="I3397" s="20">
        <f t="shared" si="122"/>
        <v>4.1694600000000026E-2</v>
      </c>
      <c r="J3397" s="13">
        <f t="shared" si="123"/>
        <v>4169.4600000000009</v>
      </c>
    </row>
    <row r="3398" spans="1:10" x14ac:dyDescent="0.25">
      <c r="A3398" s="10">
        <v>40131</v>
      </c>
      <c r="B3398" s="11" t="s">
        <v>8</v>
      </c>
      <c r="C3398" s="11" t="s">
        <v>5</v>
      </c>
      <c r="D3398" s="16" t="str">
        <f>HYPERLINK("https://freddywills.com/pick/5771/illinois-4-5-2h.html", "Illinois -4.5 2H")</f>
        <v>Illinois -4.5 2H</v>
      </c>
      <c r="E3398" s="11">
        <v>1</v>
      </c>
      <c r="F3398" s="11">
        <v>-1.1000000000000001</v>
      </c>
      <c r="G3398" s="11" t="s">
        <v>6</v>
      </c>
      <c r="H3398" s="13">
        <v>-1000</v>
      </c>
      <c r="I3398" s="20">
        <f t="shared" si="122"/>
        <v>7.1694600000000025E-2</v>
      </c>
      <c r="J3398" s="13">
        <f t="shared" si="123"/>
        <v>7169.4600000000009</v>
      </c>
    </row>
    <row r="3399" spans="1:10" x14ac:dyDescent="0.25">
      <c r="A3399" s="10">
        <v>40131</v>
      </c>
      <c r="B3399" s="11" t="s">
        <v>8</v>
      </c>
      <c r="C3399" s="11" t="s">
        <v>5</v>
      </c>
      <c r="D3399" s="16" t="str">
        <f>HYPERLINK("https://freddywills.com/pick/5772/tulans-3.html", "Tulans +3")</f>
        <v>Tulans +3</v>
      </c>
      <c r="E3399" s="11">
        <v>5</v>
      </c>
      <c r="F3399" s="11">
        <v>-1.1000000000000001</v>
      </c>
      <c r="G3399" s="11" t="s">
        <v>6</v>
      </c>
      <c r="H3399" s="13">
        <v>-5000</v>
      </c>
      <c r="I3399" s="20">
        <f t="shared" si="122"/>
        <v>8.169460000000002E-2</v>
      </c>
      <c r="J3399" s="13">
        <f t="shared" si="123"/>
        <v>8169.4600000000009</v>
      </c>
    </row>
    <row r="3400" spans="1:10" x14ac:dyDescent="0.25">
      <c r="A3400" s="10">
        <v>40131</v>
      </c>
      <c r="B3400" s="11" t="s">
        <v>8</v>
      </c>
      <c r="C3400" s="11" t="s">
        <v>5</v>
      </c>
      <c r="D3400" s="16" t="str">
        <f>HYPERLINK("https://freddywills.com/pick/5773/georgia-4-5-105.html", "Georgia -4.5 @ -105")</f>
        <v>Georgia -4.5 @ -105</v>
      </c>
      <c r="E3400" s="11">
        <v>4</v>
      </c>
      <c r="F3400" s="11">
        <v>-1.05</v>
      </c>
      <c r="G3400" s="11" t="s">
        <v>4</v>
      </c>
      <c r="H3400" s="13">
        <v>3809.52</v>
      </c>
      <c r="I3400" s="20">
        <f t="shared" si="122"/>
        <v>0.13169460000000002</v>
      </c>
      <c r="J3400" s="13">
        <f t="shared" si="123"/>
        <v>13169.460000000001</v>
      </c>
    </row>
    <row r="3401" spans="1:10" x14ac:dyDescent="0.25">
      <c r="A3401" s="10">
        <v>40131</v>
      </c>
      <c r="B3401" s="11" t="s">
        <v>8</v>
      </c>
      <c r="C3401" s="11" t="s">
        <v>5</v>
      </c>
      <c r="D3401" s="16" t="str">
        <f>HYPERLINK("https://freddywills.com/pick/5774/unc-3-5.html", "UNC +3.5")</f>
        <v>UNC +3.5</v>
      </c>
      <c r="E3401" s="11">
        <v>3.5</v>
      </c>
      <c r="F3401" s="11">
        <v>-1.1000000000000001</v>
      </c>
      <c r="G3401" s="11" t="s">
        <v>4</v>
      </c>
      <c r="H3401" s="13">
        <v>3181.82</v>
      </c>
      <c r="I3401" s="20">
        <f t="shared" si="122"/>
        <v>9.3599400000000013E-2</v>
      </c>
      <c r="J3401" s="13">
        <f t="shared" si="123"/>
        <v>9359.94</v>
      </c>
    </row>
    <row r="3402" spans="1:10" x14ac:dyDescent="0.25">
      <c r="A3402" s="10">
        <v>40131</v>
      </c>
      <c r="B3402" s="11" t="s">
        <v>8</v>
      </c>
      <c r="C3402" s="11" t="s">
        <v>5</v>
      </c>
      <c r="D3402" s="16" t="str">
        <f>HYPERLINK("https://freddywills.com/pick/5775/clemson-8-104.html", "Clemson -8 @ -104")</f>
        <v>Clemson -8 @ -104</v>
      </c>
      <c r="E3402" s="11">
        <v>3</v>
      </c>
      <c r="F3402" s="11">
        <v>-1.04</v>
      </c>
      <c r="G3402" s="11" t="s">
        <v>4</v>
      </c>
      <c r="H3402" s="13">
        <v>2884.62</v>
      </c>
      <c r="I3402" s="20">
        <f t="shared" si="122"/>
        <v>6.1781200000000008E-2</v>
      </c>
      <c r="J3402" s="13">
        <f t="shared" si="123"/>
        <v>6178.12</v>
      </c>
    </row>
    <row r="3403" spans="1:10" x14ac:dyDescent="0.25">
      <c r="A3403" s="10">
        <v>40131</v>
      </c>
      <c r="B3403" s="11" t="s">
        <v>8</v>
      </c>
      <c r="C3403" s="11" t="s">
        <v>5</v>
      </c>
      <c r="D3403" s="16" t="str">
        <f>HYPERLINK("https://freddywills.com/pick/5776/usc-10-5.html", "USC -10.5")</f>
        <v>USC -10.5</v>
      </c>
      <c r="E3403" s="11">
        <v>1.1000000000000001</v>
      </c>
      <c r="F3403" s="11">
        <v>-1.1000000000000001</v>
      </c>
      <c r="G3403" s="11" t="s">
        <v>6</v>
      </c>
      <c r="H3403" s="13">
        <v>-1100</v>
      </c>
      <c r="I3403" s="20">
        <f t="shared" si="122"/>
        <v>3.2935000000000006E-2</v>
      </c>
      <c r="J3403" s="13">
        <f t="shared" si="123"/>
        <v>3293.5</v>
      </c>
    </row>
    <row r="3404" spans="1:10" x14ac:dyDescent="0.25">
      <c r="A3404" s="10">
        <v>40130</v>
      </c>
      <c r="B3404" s="11" t="s">
        <v>8</v>
      </c>
      <c r="C3404" s="11" t="s">
        <v>5</v>
      </c>
      <c r="D3404" s="16" t="str">
        <f>HYPERLINK("https://freddywills.com/pick/5777/cinn-9-5.html", "Cinn -9.5")</f>
        <v>Cinn -9.5</v>
      </c>
      <c r="E3404" s="11">
        <v>4</v>
      </c>
      <c r="F3404" s="11">
        <v>-1.1000000000000001</v>
      </c>
      <c r="G3404" s="11" t="s">
        <v>6</v>
      </c>
      <c r="H3404" s="13">
        <v>-4000</v>
      </c>
      <c r="I3404" s="20">
        <f t="shared" si="122"/>
        <v>4.3935000000000009E-2</v>
      </c>
      <c r="J3404" s="13">
        <f t="shared" si="123"/>
        <v>4393.5</v>
      </c>
    </row>
    <row r="3405" spans="1:10" x14ac:dyDescent="0.25">
      <c r="A3405" s="10">
        <v>40129</v>
      </c>
      <c r="B3405" s="11" t="s">
        <v>8</v>
      </c>
      <c r="C3405" s="11" t="s">
        <v>5</v>
      </c>
      <c r="D3405" s="16" t="str">
        <f>HYPERLINK("https://freddywills.com/pick/5779/rutgers-2.html", "Rutgers -2")</f>
        <v>Rutgers -2</v>
      </c>
      <c r="E3405" s="11">
        <v>4.5</v>
      </c>
      <c r="F3405" s="11">
        <v>-1.1000000000000001</v>
      </c>
      <c r="G3405" s="11" t="s">
        <v>4</v>
      </c>
      <c r="H3405" s="13">
        <v>4090.91</v>
      </c>
      <c r="I3405" s="20">
        <f t="shared" si="122"/>
        <v>8.393500000000001E-2</v>
      </c>
      <c r="J3405" s="13">
        <f t="shared" si="123"/>
        <v>8393.5</v>
      </c>
    </row>
    <row r="3406" spans="1:10" x14ac:dyDescent="0.25">
      <c r="A3406" s="10">
        <v>40129</v>
      </c>
      <c r="B3406" s="11" t="s">
        <v>2</v>
      </c>
      <c r="C3406" s="11" t="s">
        <v>5</v>
      </c>
      <c r="D3406" s="16" t="str">
        <f>HYPERLINK("https://freddywills.com/pick/5780/49ers-2-5-120.html", "49ers -2.5 -120")</f>
        <v>49ers -2.5 -120</v>
      </c>
      <c r="E3406" s="11">
        <v>3</v>
      </c>
      <c r="F3406" s="11">
        <v>-1.2</v>
      </c>
      <c r="G3406" s="11" t="s">
        <v>4</v>
      </c>
      <c r="H3406" s="13">
        <v>2500</v>
      </c>
      <c r="I3406" s="20">
        <f t="shared" si="122"/>
        <v>4.302590000000002E-2</v>
      </c>
      <c r="J3406" s="13">
        <f t="shared" si="123"/>
        <v>4302.59</v>
      </c>
    </row>
    <row r="3407" spans="1:10" x14ac:dyDescent="0.25">
      <c r="A3407" s="10">
        <v>40128</v>
      </c>
      <c r="B3407" s="11" t="s">
        <v>8</v>
      </c>
      <c r="C3407" s="11" t="s">
        <v>5</v>
      </c>
      <c r="D3407" s="16" t="str">
        <f>HYPERLINK("https://freddywills.com/pick/5786/c-michigan-17.html", "C. Michigan -17")</f>
        <v>C. Michigan -17</v>
      </c>
      <c r="E3407" s="11">
        <v>1.1000000000000001</v>
      </c>
      <c r="F3407" s="11">
        <v>-1.1000000000000001</v>
      </c>
      <c r="G3407" s="11" t="s">
        <v>4</v>
      </c>
      <c r="H3407" s="13">
        <v>1000</v>
      </c>
      <c r="I3407" s="20">
        <f t="shared" si="122"/>
        <v>1.8025900000000018E-2</v>
      </c>
      <c r="J3407" s="13">
        <f t="shared" si="123"/>
        <v>1802.5899999999997</v>
      </c>
    </row>
    <row r="3408" spans="1:10" x14ac:dyDescent="0.25">
      <c r="A3408" s="10">
        <v>40127</v>
      </c>
      <c r="B3408" s="11" t="s">
        <v>8</v>
      </c>
      <c r="C3408" s="11" t="s">
        <v>5</v>
      </c>
      <c r="D3408" s="16" t="str">
        <f>HYPERLINK("https://freddywills.com/pick/5788/ohio-1-5.html", "Ohio +1.5")</f>
        <v>Ohio +1.5</v>
      </c>
      <c r="E3408" s="11">
        <v>3.3</v>
      </c>
      <c r="F3408" s="11">
        <v>-1.1000000000000001</v>
      </c>
      <c r="G3408" s="11" t="s">
        <v>4</v>
      </c>
      <c r="H3408" s="13">
        <v>3000</v>
      </c>
      <c r="I3408" s="20">
        <f t="shared" si="122"/>
        <v>8.0259000000000164E-3</v>
      </c>
      <c r="J3408" s="13">
        <f t="shared" si="123"/>
        <v>802.58999999999969</v>
      </c>
    </row>
    <row r="3409" spans="1:10" x14ac:dyDescent="0.25">
      <c r="A3409" s="10">
        <v>40127</v>
      </c>
      <c r="B3409" s="11" t="s">
        <v>8</v>
      </c>
      <c r="C3409" s="11" t="s">
        <v>5</v>
      </c>
      <c r="D3409" s="16" t="str">
        <f>HYPERLINK("https://freddywills.com/pick/5789/ohio-3-2h.html", "Ohio +3 2H")</f>
        <v>Ohio +3 2H</v>
      </c>
      <c r="E3409" s="11">
        <v>1</v>
      </c>
      <c r="F3409" s="11">
        <v>-1.1000000000000001</v>
      </c>
      <c r="G3409" s="11" t="s">
        <v>6</v>
      </c>
      <c r="H3409" s="13">
        <v>-1000</v>
      </c>
      <c r="I3409" s="20">
        <f t="shared" si="122"/>
        <v>-2.1974099999999983E-2</v>
      </c>
      <c r="J3409" s="13">
        <f t="shared" si="123"/>
        <v>-2197.4100000000003</v>
      </c>
    </row>
    <row r="3410" spans="1:10" x14ac:dyDescent="0.25">
      <c r="A3410" s="10">
        <v>40126</v>
      </c>
      <c r="B3410" s="11" t="s">
        <v>2</v>
      </c>
      <c r="C3410" s="11" t="s">
        <v>5</v>
      </c>
      <c r="D3410" s="16" t="str">
        <f>HYPERLINK("https://freddywills.com/pick/5791/steelers-2.html", "Steelers -2")</f>
        <v>Steelers -2</v>
      </c>
      <c r="E3410" s="11">
        <v>4</v>
      </c>
      <c r="F3410" s="11">
        <v>-1.1000000000000001</v>
      </c>
      <c r="G3410" s="11" t="s">
        <v>4</v>
      </c>
      <c r="H3410" s="13">
        <v>3636.36</v>
      </c>
      <c r="I3410" s="20">
        <f t="shared" ref="I3410:I3473" si="124">(H3410/100000)+I3411</f>
        <v>-1.1974099999999981E-2</v>
      </c>
      <c r="J3410" s="13">
        <f t="shared" ref="J3410:J3473" si="125">J3411+H3410</f>
        <v>-1197.4100000000003</v>
      </c>
    </row>
    <row r="3411" spans="1:10" x14ac:dyDescent="0.25">
      <c r="A3411" s="10">
        <v>40126</v>
      </c>
      <c r="B3411" s="11" t="s">
        <v>2</v>
      </c>
      <c r="C3411" s="11" t="s">
        <v>5</v>
      </c>
      <c r="D3411" s="16" t="str">
        <f>HYPERLINK("https://freddywills.com/pick/5792/steelers-pk-120-2h.html", "Steelers pk +120 2H")</f>
        <v>Steelers pk +120 2H</v>
      </c>
      <c r="E3411" s="11">
        <v>1.5</v>
      </c>
      <c r="F3411" s="11">
        <v>1.2</v>
      </c>
      <c r="G3411" s="11" t="s">
        <v>4</v>
      </c>
      <c r="H3411" s="13">
        <v>1800</v>
      </c>
      <c r="I3411" s="20">
        <f t="shared" si="124"/>
        <v>-4.8337699999999983E-2</v>
      </c>
      <c r="J3411" s="13">
        <f t="shared" si="125"/>
        <v>-4833.7700000000004</v>
      </c>
    </row>
    <row r="3412" spans="1:10" x14ac:dyDescent="0.25">
      <c r="A3412" s="10">
        <v>40126</v>
      </c>
      <c r="B3412" s="11" t="s">
        <v>2</v>
      </c>
      <c r="C3412" s="11" t="s">
        <v>7</v>
      </c>
      <c r="D3412" s="16" t="str">
        <f>HYPERLINK("https://freddywills.com/pick/5793/pit-den-u19-5-2h.html", "PIT/DEN U19.5 2H")</f>
        <v>PIT/DEN U19.5 2H</v>
      </c>
      <c r="E3412" s="11">
        <v>0.5</v>
      </c>
      <c r="F3412" s="11">
        <v>-1.1000000000000001</v>
      </c>
      <c r="G3412" s="11" t="s">
        <v>6</v>
      </c>
      <c r="H3412" s="13">
        <v>-500</v>
      </c>
      <c r="I3412" s="20">
        <f t="shared" si="124"/>
        <v>-6.6337699999999986E-2</v>
      </c>
      <c r="J3412" s="13">
        <f t="shared" si="125"/>
        <v>-6633.77</v>
      </c>
    </row>
    <row r="3413" spans="1:10" x14ac:dyDescent="0.25">
      <c r="A3413" s="10">
        <v>40125</v>
      </c>
      <c r="B3413" s="11" t="s">
        <v>2</v>
      </c>
      <c r="C3413" s="11" t="s">
        <v>5</v>
      </c>
      <c r="D3413" s="16" t="str">
        <f>HYPERLINK("https://freddywills.com/pick/5794/redskins-9.html", "Redskins +9")</f>
        <v>Redskins +9</v>
      </c>
      <c r="E3413" s="11">
        <v>4</v>
      </c>
      <c r="F3413" s="11">
        <v>-1.1000000000000001</v>
      </c>
      <c r="G3413" s="11" t="s">
        <v>6</v>
      </c>
      <c r="H3413" s="13">
        <v>-4000</v>
      </c>
      <c r="I3413" s="20">
        <f t="shared" si="124"/>
        <v>-6.1337699999999981E-2</v>
      </c>
      <c r="J3413" s="13">
        <f t="shared" si="125"/>
        <v>-6133.77</v>
      </c>
    </row>
    <row r="3414" spans="1:10" x14ac:dyDescent="0.25">
      <c r="A3414" s="10">
        <v>40125</v>
      </c>
      <c r="B3414" s="11" t="s">
        <v>2</v>
      </c>
      <c r="C3414" s="11" t="s">
        <v>5</v>
      </c>
      <c r="D3414" s="16" t="str">
        <f>HYPERLINK("https://freddywills.com/pick/5795/eagles-3.html", "Eagles -3")</f>
        <v>Eagles -3</v>
      </c>
      <c r="E3414" s="11">
        <v>3.5</v>
      </c>
      <c r="F3414" s="11">
        <v>-1.1000000000000001</v>
      </c>
      <c r="G3414" s="11" t="s">
        <v>6</v>
      </c>
      <c r="H3414" s="13">
        <v>-3500</v>
      </c>
      <c r="I3414" s="20">
        <f t="shared" si="124"/>
        <v>-2.133769999999998E-2</v>
      </c>
      <c r="J3414" s="13">
        <f t="shared" si="125"/>
        <v>-2133.77</v>
      </c>
    </row>
    <row r="3415" spans="1:10" x14ac:dyDescent="0.25">
      <c r="A3415" s="10">
        <v>40124</v>
      </c>
      <c r="B3415" s="11" t="s">
        <v>8</v>
      </c>
      <c r="C3415" s="11" t="s">
        <v>5</v>
      </c>
      <c r="D3415" s="16" t="str">
        <f>HYPERLINK("https://freddywills.com/pick/5796/alabama-7.html", "Alabama -7")</f>
        <v>Alabama -7</v>
      </c>
      <c r="E3415" s="11">
        <v>3.5</v>
      </c>
      <c r="F3415" s="11">
        <v>-1.1000000000000001</v>
      </c>
      <c r="G3415" s="11" t="s">
        <v>4</v>
      </c>
      <c r="H3415" s="13">
        <v>3181.82</v>
      </c>
      <c r="I3415" s="20">
        <f t="shared" si="124"/>
        <v>1.3662300000000023E-2</v>
      </c>
      <c r="J3415" s="13">
        <f t="shared" si="125"/>
        <v>1366.23</v>
      </c>
    </row>
    <row r="3416" spans="1:10" x14ac:dyDescent="0.25">
      <c r="A3416" s="10">
        <v>40124</v>
      </c>
      <c r="B3416" s="11" t="s">
        <v>8</v>
      </c>
      <c r="C3416" s="11" t="s">
        <v>5</v>
      </c>
      <c r="D3416" s="16" t="str">
        <f>HYPERLINK("https://freddywills.com/pick/5797/la-monroe-1.html", "LA Monroe -1")</f>
        <v>LA Monroe -1</v>
      </c>
      <c r="E3416" s="11">
        <v>4.5</v>
      </c>
      <c r="F3416" s="11">
        <v>-1.1000000000000001</v>
      </c>
      <c r="G3416" s="11" t="s">
        <v>4</v>
      </c>
      <c r="H3416" s="13">
        <v>4090.91</v>
      </c>
      <c r="I3416" s="20">
        <f t="shared" si="124"/>
        <v>-1.8155899999999982E-2</v>
      </c>
      <c r="J3416" s="13">
        <f t="shared" si="125"/>
        <v>-1815.5900000000001</v>
      </c>
    </row>
    <row r="3417" spans="1:10" x14ac:dyDescent="0.25">
      <c r="A3417" s="10">
        <v>40118</v>
      </c>
      <c r="B3417" s="11" t="s">
        <v>2</v>
      </c>
      <c r="C3417" s="11" t="s">
        <v>5</v>
      </c>
      <c r="D3417" s="16" t="str">
        <f>HYPERLINK("https://freddywills.com/pick/5798/jets-3.html", "Jets -3")</f>
        <v>Jets -3</v>
      </c>
      <c r="E3417" s="11">
        <v>3</v>
      </c>
      <c r="F3417" s="11">
        <v>-1.1000000000000001</v>
      </c>
      <c r="G3417" s="11" t="s">
        <v>6</v>
      </c>
      <c r="H3417" s="13">
        <v>-3000</v>
      </c>
      <c r="I3417" s="20">
        <f t="shared" si="124"/>
        <v>-5.9064999999999979E-2</v>
      </c>
      <c r="J3417" s="13">
        <f t="shared" si="125"/>
        <v>-5906.5</v>
      </c>
    </row>
    <row r="3418" spans="1:10" x14ac:dyDescent="0.25">
      <c r="A3418" s="10">
        <v>40118</v>
      </c>
      <c r="B3418" s="11" t="s">
        <v>2</v>
      </c>
      <c r="C3418" s="11" t="s">
        <v>5</v>
      </c>
      <c r="D3418" s="16" t="str">
        <f>HYPERLINK("https://freddywills.com/pick/5799/seahawks-10.html", "Seahawks +10")</f>
        <v>Seahawks +10</v>
      </c>
      <c r="E3418" s="11">
        <v>4</v>
      </c>
      <c r="F3418" s="11">
        <v>-1.1000000000000001</v>
      </c>
      <c r="G3418" s="11" t="s">
        <v>6</v>
      </c>
      <c r="H3418" s="13">
        <v>-4000</v>
      </c>
      <c r="I3418" s="20">
        <f t="shared" si="124"/>
        <v>-2.906499999999998E-2</v>
      </c>
      <c r="J3418" s="13">
        <f t="shared" si="125"/>
        <v>-2906.4999999999995</v>
      </c>
    </row>
    <row r="3419" spans="1:10" x14ac:dyDescent="0.25">
      <c r="A3419" s="10">
        <v>40117</v>
      </c>
      <c r="B3419" s="11" t="s">
        <v>8</v>
      </c>
      <c r="C3419" s="11" t="s">
        <v>5</v>
      </c>
      <c r="D3419" s="16" t="str">
        <f>HYPERLINK("https://freddywills.com/pick/5800/wisconsin-7.html", "Wisconsin -7")</f>
        <v>Wisconsin -7</v>
      </c>
      <c r="E3419" s="11">
        <v>4.5</v>
      </c>
      <c r="F3419" s="11">
        <v>-1.1000000000000001</v>
      </c>
      <c r="G3419" s="11" t="s">
        <v>4</v>
      </c>
      <c r="H3419" s="13">
        <v>4090.91</v>
      </c>
      <c r="I3419" s="20">
        <f t="shared" si="124"/>
        <v>1.0935000000000021E-2</v>
      </c>
      <c r="J3419" s="13">
        <f t="shared" si="125"/>
        <v>1093.5000000000005</v>
      </c>
    </row>
    <row r="3420" spans="1:10" x14ac:dyDescent="0.25">
      <c r="A3420" s="10">
        <v>40117</v>
      </c>
      <c r="B3420" s="11" t="s">
        <v>8</v>
      </c>
      <c r="C3420" s="11" t="s">
        <v>5</v>
      </c>
      <c r="D3420" s="16" t="str">
        <f>HYPERLINK("https://freddywills.com/pick/5801/baylor-13.html", "Baylor +13")</f>
        <v>Baylor +13</v>
      </c>
      <c r="E3420" s="11">
        <v>1</v>
      </c>
      <c r="F3420" s="11">
        <v>-1.1000000000000001</v>
      </c>
      <c r="G3420" s="11" t="s">
        <v>4</v>
      </c>
      <c r="H3420" s="13">
        <v>909.09</v>
      </c>
      <c r="I3420" s="20">
        <f t="shared" si="124"/>
        <v>-2.9974099999999976E-2</v>
      </c>
      <c r="J3420" s="13">
        <f t="shared" si="125"/>
        <v>-2997.4099999999994</v>
      </c>
    </row>
    <row r="3421" spans="1:10" x14ac:dyDescent="0.25">
      <c r="A3421" s="10">
        <v>40117</v>
      </c>
      <c r="B3421" s="11" t="s">
        <v>8</v>
      </c>
      <c r="C3421" s="11" t="s">
        <v>5</v>
      </c>
      <c r="D3421" s="16" t="str">
        <f>HYPERLINK("https://freddywills.com/pick/5802/wash-st-28.html", "Wash St +28")</f>
        <v>Wash St +28</v>
      </c>
      <c r="E3421" s="11">
        <v>3.5</v>
      </c>
      <c r="F3421" s="11">
        <v>-1.1000000000000001</v>
      </c>
      <c r="G3421" s="11" t="s">
        <v>4</v>
      </c>
      <c r="H3421" s="13">
        <v>3181.82</v>
      </c>
      <c r="I3421" s="20">
        <f t="shared" si="124"/>
        <v>-3.9064999999999975E-2</v>
      </c>
      <c r="J3421" s="13">
        <f t="shared" si="125"/>
        <v>-3906.4999999999995</v>
      </c>
    </row>
    <row r="3422" spans="1:10" x14ac:dyDescent="0.25">
      <c r="A3422" s="10">
        <v>40117</v>
      </c>
      <c r="B3422" s="11" t="s">
        <v>8</v>
      </c>
      <c r="C3422" s="11" t="s">
        <v>5</v>
      </c>
      <c r="D3422" s="16" t="str">
        <f>HYPERLINK("https://freddywills.com/pick/5803/oregon-3-5.html", "Oregon +3.5")</f>
        <v>Oregon +3.5</v>
      </c>
      <c r="E3422" s="11">
        <v>3</v>
      </c>
      <c r="F3422" s="11">
        <v>-1.1000000000000001</v>
      </c>
      <c r="G3422" s="11" t="s">
        <v>4</v>
      </c>
      <c r="H3422" s="13">
        <v>2727.27</v>
      </c>
      <c r="I3422" s="20">
        <f t="shared" si="124"/>
        <v>-7.088319999999998E-2</v>
      </c>
      <c r="J3422" s="13">
        <f t="shared" si="125"/>
        <v>-7088.32</v>
      </c>
    </row>
    <row r="3423" spans="1:10" x14ac:dyDescent="0.25">
      <c r="A3423" s="10">
        <v>40117</v>
      </c>
      <c r="B3423" s="11" t="s">
        <v>8</v>
      </c>
      <c r="C3423" s="11" t="s">
        <v>5</v>
      </c>
      <c r="D3423" s="16" t="str">
        <f>HYPERLINK("https://freddywills.com/pick/5805/kentucky-3-5.html", "Kentucky -3.5")</f>
        <v>Kentucky -3.5</v>
      </c>
      <c r="E3423" s="11">
        <v>5</v>
      </c>
      <c r="F3423" s="11">
        <v>-1.1000000000000001</v>
      </c>
      <c r="G3423" s="11" t="s">
        <v>6</v>
      </c>
      <c r="H3423" s="13">
        <v>-5000</v>
      </c>
      <c r="I3423" s="20">
        <f t="shared" si="124"/>
        <v>-9.8155899999999977E-2</v>
      </c>
      <c r="J3423" s="13">
        <f t="shared" si="125"/>
        <v>-9815.59</v>
      </c>
    </row>
    <row r="3424" spans="1:10" x14ac:dyDescent="0.25">
      <c r="A3424" s="10">
        <v>40117</v>
      </c>
      <c r="B3424" s="11" t="s">
        <v>8</v>
      </c>
      <c r="C3424" s="11" t="s">
        <v>5</v>
      </c>
      <c r="D3424" s="16" t="str">
        <f>HYPERLINK("https://freddywills.com/pick/5806/fau-2-5.html", "FAU -2.5")</f>
        <v>FAU -2.5</v>
      </c>
      <c r="E3424" s="11">
        <v>3.5</v>
      </c>
      <c r="F3424" s="11">
        <v>-1.1000000000000001</v>
      </c>
      <c r="G3424" s="11" t="s">
        <v>6</v>
      </c>
      <c r="H3424" s="13">
        <v>-3500</v>
      </c>
      <c r="I3424" s="20">
        <f t="shared" si="124"/>
        <v>-4.8155899999999974E-2</v>
      </c>
      <c r="J3424" s="13">
        <f t="shared" si="125"/>
        <v>-4815.59</v>
      </c>
    </row>
    <row r="3425" spans="1:10" x14ac:dyDescent="0.25">
      <c r="A3425" s="10">
        <v>40116</v>
      </c>
      <c r="B3425" s="11" t="s">
        <v>8</v>
      </c>
      <c r="C3425" s="11" t="s">
        <v>5</v>
      </c>
      <c r="D3425" s="16" t="str">
        <f>HYPERLINK("https://freddywills.com/pick/5807/usf-3-5.html", "USF +3.5")</f>
        <v>USF +3.5</v>
      </c>
      <c r="E3425" s="11">
        <v>3.5</v>
      </c>
      <c r="F3425" s="11">
        <v>-1.1000000000000001</v>
      </c>
      <c r="G3425" s="11" t="s">
        <v>4</v>
      </c>
      <c r="H3425" s="13">
        <v>3181.82</v>
      </c>
      <c r="I3425" s="20">
        <f t="shared" si="124"/>
        <v>-1.315589999999997E-2</v>
      </c>
      <c r="J3425" s="13">
        <f t="shared" si="125"/>
        <v>-1315.5899999999997</v>
      </c>
    </row>
    <row r="3426" spans="1:10" x14ac:dyDescent="0.25">
      <c r="A3426" s="10">
        <v>40113</v>
      </c>
      <c r="B3426" s="11" t="s">
        <v>8</v>
      </c>
      <c r="C3426" s="11" t="s">
        <v>5</v>
      </c>
      <c r="D3426" s="16" t="str">
        <f>HYPERLINK("https://freddywills.com/pick/5821/ecu-4.html", "ECU -4")</f>
        <v>ECU -4</v>
      </c>
      <c r="E3426" s="11">
        <v>3</v>
      </c>
      <c r="F3426" s="11">
        <v>-1.1000000000000001</v>
      </c>
      <c r="G3426" s="11" t="s">
        <v>4</v>
      </c>
      <c r="H3426" s="13">
        <v>2727.27</v>
      </c>
      <c r="I3426" s="20">
        <f t="shared" si="124"/>
        <v>-4.4974099999999975E-2</v>
      </c>
      <c r="J3426" s="13">
        <f t="shared" si="125"/>
        <v>-4497.41</v>
      </c>
    </row>
    <row r="3427" spans="1:10" x14ac:dyDescent="0.25">
      <c r="A3427" s="10">
        <v>40112</v>
      </c>
      <c r="B3427" s="11" t="s">
        <v>2</v>
      </c>
      <c r="C3427" s="11" t="s">
        <v>5</v>
      </c>
      <c r="D3427" s="16" t="str">
        <f>HYPERLINK("https://freddywills.com/pick/5825/redskins-pk-110-2h.html", "Redskins pk +110 2H")</f>
        <v>Redskins pk +110 2H</v>
      </c>
      <c r="E3427" s="11">
        <v>2</v>
      </c>
      <c r="F3427" s="11">
        <v>1.1000000000000001</v>
      </c>
      <c r="G3427" s="11" t="s">
        <v>4</v>
      </c>
      <c r="H3427" s="13">
        <v>2200</v>
      </c>
      <c r="I3427" s="20">
        <f t="shared" si="124"/>
        <v>-7.2246799999999972E-2</v>
      </c>
      <c r="J3427" s="13">
        <f t="shared" si="125"/>
        <v>-7224.68</v>
      </c>
    </row>
    <row r="3428" spans="1:10" x14ac:dyDescent="0.25">
      <c r="A3428" s="10">
        <v>40112</v>
      </c>
      <c r="B3428" s="11" t="s">
        <v>2</v>
      </c>
      <c r="C3428" s="11" t="s">
        <v>5</v>
      </c>
      <c r="D3428" s="16" t="str">
        <f>HYPERLINK("https://freddywills.com/pick/5826/redskins-9.html", "Redskins +9")</f>
        <v>Redskins +9</v>
      </c>
      <c r="E3428" s="11">
        <v>4</v>
      </c>
      <c r="F3428" s="11">
        <v>-1.1000000000000001</v>
      </c>
      <c r="G3428" s="11" t="s">
        <v>6</v>
      </c>
      <c r="H3428" s="13">
        <v>-4000</v>
      </c>
      <c r="I3428" s="20">
        <f t="shared" si="124"/>
        <v>-9.4246799999999978E-2</v>
      </c>
      <c r="J3428" s="13">
        <f t="shared" si="125"/>
        <v>-9424.68</v>
      </c>
    </row>
    <row r="3429" spans="1:10" x14ac:dyDescent="0.25">
      <c r="A3429" s="10">
        <v>40111</v>
      </c>
      <c r="B3429" s="11" t="s">
        <v>2</v>
      </c>
      <c r="C3429" s="11" t="s">
        <v>5</v>
      </c>
      <c r="D3429" s="16" t="str">
        <f>HYPERLINK("https://freddywills.com/pick/5827/jets-pk-2h-110.html", "Jets pk 2H -110")</f>
        <v>Jets pk 2H -110</v>
      </c>
      <c r="E3429" s="11">
        <v>1.5</v>
      </c>
      <c r="F3429" s="11">
        <v>-1.1000000000000001</v>
      </c>
      <c r="G3429" s="11" t="s">
        <v>4</v>
      </c>
      <c r="H3429" s="13">
        <v>1363.64</v>
      </c>
      <c r="I3429" s="20">
        <f t="shared" si="124"/>
        <v>-5.4246799999999977E-2</v>
      </c>
      <c r="J3429" s="13">
        <f t="shared" si="125"/>
        <v>-5424.6799999999994</v>
      </c>
    </row>
    <row r="3430" spans="1:10" x14ac:dyDescent="0.25">
      <c r="A3430" s="10">
        <v>40111</v>
      </c>
      <c r="B3430" s="11" t="s">
        <v>2</v>
      </c>
      <c r="C3430" s="11" t="s">
        <v>5</v>
      </c>
      <c r="D3430" s="16" t="str">
        <f>HYPERLINK("https://freddywills.com/pick/5828/cardinals-7-5.html", "Cardinals +7.5")</f>
        <v>Cardinals +7.5</v>
      </c>
      <c r="E3430" s="11">
        <v>3</v>
      </c>
      <c r="F3430" s="11">
        <v>-1.1000000000000001</v>
      </c>
      <c r="G3430" s="11" t="s">
        <v>4</v>
      </c>
      <c r="H3430" s="13">
        <v>2727.27</v>
      </c>
      <c r="I3430" s="20">
        <f t="shared" si="124"/>
        <v>-6.7883199999999977E-2</v>
      </c>
      <c r="J3430" s="13">
        <f t="shared" si="125"/>
        <v>-6788.32</v>
      </c>
    </row>
    <row r="3431" spans="1:10" x14ac:dyDescent="0.25">
      <c r="A3431" s="10">
        <v>40111</v>
      </c>
      <c r="B3431" s="11" t="s">
        <v>2</v>
      </c>
      <c r="C3431" s="11" t="s">
        <v>5</v>
      </c>
      <c r="D3431" s="16" t="str">
        <f>HYPERLINK("https://freddywills.com/pick/5829/packers-3-2h-100.html", "Packers -3 2H +100")</f>
        <v>Packers -3 2H +100</v>
      </c>
      <c r="E3431" s="11">
        <v>1</v>
      </c>
      <c r="F3431" s="11">
        <v>1</v>
      </c>
      <c r="G3431" s="11" t="s">
        <v>4</v>
      </c>
      <c r="H3431" s="13">
        <v>1000</v>
      </c>
      <c r="I3431" s="20">
        <f t="shared" si="124"/>
        <v>-9.5155899999999974E-2</v>
      </c>
      <c r="J3431" s="13">
        <f t="shared" si="125"/>
        <v>-9515.59</v>
      </c>
    </row>
    <row r="3432" spans="1:10" x14ac:dyDescent="0.25">
      <c r="A3432" s="10">
        <v>40111</v>
      </c>
      <c r="B3432" s="11" t="s">
        <v>2</v>
      </c>
      <c r="C3432" s="11" t="s">
        <v>5</v>
      </c>
      <c r="D3432" s="16" t="str">
        <f>HYPERLINK("https://freddywills.com/pick/5830/steelers-5-5.html", "Steelers -5.5")</f>
        <v>Steelers -5.5</v>
      </c>
      <c r="E3432" s="11">
        <v>1</v>
      </c>
      <c r="F3432" s="11">
        <v>-1.1000000000000001</v>
      </c>
      <c r="G3432" s="11" t="s">
        <v>4</v>
      </c>
      <c r="H3432" s="13">
        <v>909.09</v>
      </c>
      <c r="I3432" s="20">
        <f t="shared" si="124"/>
        <v>-0.10515589999999997</v>
      </c>
      <c r="J3432" s="13">
        <f t="shared" si="125"/>
        <v>-10515.59</v>
      </c>
    </row>
    <row r="3433" spans="1:10" x14ac:dyDescent="0.25">
      <c r="A3433" s="10">
        <v>40111</v>
      </c>
      <c r="B3433" s="11" t="s">
        <v>2</v>
      </c>
      <c r="C3433" s="11" t="s">
        <v>5</v>
      </c>
      <c r="D3433" s="16" t="str">
        <f>HYPERLINK("https://freddywills.com/pick/5833/chiefs-6-amp-ml-204.html", "Chiefs +6 &amp;amp; ML +204")</f>
        <v>Chiefs +6 &amp;amp; ML +204</v>
      </c>
      <c r="E3433" s="11">
        <v>5</v>
      </c>
      <c r="F3433" s="11">
        <v>2.04</v>
      </c>
      <c r="G3433" s="11" t="s">
        <v>6</v>
      </c>
      <c r="H3433" s="13">
        <v>-5000</v>
      </c>
      <c r="I3433" s="20">
        <f t="shared" si="124"/>
        <v>-0.11424679999999997</v>
      </c>
      <c r="J3433" s="13">
        <f t="shared" si="125"/>
        <v>-11424.68</v>
      </c>
    </row>
    <row r="3434" spans="1:10" x14ac:dyDescent="0.25">
      <c r="A3434" s="10">
        <v>40111</v>
      </c>
      <c r="B3434" s="11" t="s">
        <v>2</v>
      </c>
      <c r="C3434" s="11" t="s">
        <v>5</v>
      </c>
      <c r="D3434" s="16" t="str">
        <f>HYPERLINK("https://freddywills.com/pick/5834/dolphins-7.html", "Dolphins +7")</f>
        <v>Dolphins +7</v>
      </c>
      <c r="E3434" s="11">
        <v>3.3</v>
      </c>
      <c r="F3434" s="11">
        <v>-1.1000000000000001</v>
      </c>
      <c r="G3434" s="11" t="s">
        <v>6</v>
      </c>
      <c r="H3434" s="13">
        <v>-3300</v>
      </c>
      <c r="I3434" s="20">
        <f t="shared" si="124"/>
        <v>-6.4246799999999965E-2</v>
      </c>
      <c r="J3434" s="13">
        <f t="shared" si="125"/>
        <v>-6424.68</v>
      </c>
    </row>
    <row r="3435" spans="1:10" x14ac:dyDescent="0.25">
      <c r="A3435" s="10">
        <v>40111</v>
      </c>
      <c r="B3435" s="11" t="s">
        <v>2</v>
      </c>
      <c r="C3435" s="11" t="s">
        <v>5</v>
      </c>
      <c r="D3435" s="16" t="str">
        <f>HYPERLINK("https://freddywills.com/pick/5835/panthers-6-5.html", "Panthers -6.5")</f>
        <v>Panthers -6.5</v>
      </c>
      <c r="E3435" s="11">
        <v>3</v>
      </c>
      <c r="F3435" s="11">
        <v>-1.1000000000000001</v>
      </c>
      <c r="G3435" s="11" t="s">
        <v>6</v>
      </c>
      <c r="H3435" s="13">
        <v>-3000</v>
      </c>
      <c r="I3435" s="20">
        <f t="shared" si="124"/>
        <v>-3.124679999999997E-2</v>
      </c>
      <c r="J3435" s="13">
        <f t="shared" si="125"/>
        <v>-3124.68</v>
      </c>
    </row>
    <row r="3436" spans="1:10" x14ac:dyDescent="0.25">
      <c r="A3436" s="10">
        <v>40111</v>
      </c>
      <c r="B3436" s="11" t="s">
        <v>2</v>
      </c>
      <c r="C3436" s="11" t="s">
        <v>5</v>
      </c>
      <c r="D3436" s="16" t="str">
        <f>HYPERLINK("https://freddywills.com/pick/5836/bears-3-over-19-5-2h-280.html", "Bears -3 Over 19.5 2H +280")</f>
        <v>Bears -3 Over 19.5 2H +280</v>
      </c>
      <c r="E3436" s="11">
        <v>0.5</v>
      </c>
      <c r="F3436" s="11">
        <v>2.8</v>
      </c>
      <c r="G3436" s="11" t="s">
        <v>6</v>
      </c>
      <c r="H3436" s="13">
        <v>-500</v>
      </c>
      <c r="I3436" s="20">
        <f t="shared" si="124"/>
        <v>-1.2467999999999707E-3</v>
      </c>
      <c r="J3436" s="13">
        <f t="shared" si="125"/>
        <v>-124.67999999999984</v>
      </c>
    </row>
    <row r="3437" spans="1:10" x14ac:dyDescent="0.25">
      <c r="A3437" s="10">
        <v>40110</v>
      </c>
      <c r="B3437" s="11" t="s">
        <v>8</v>
      </c>
      <c r="C3437" s="11" t="s">
        <v>5</v>
      </c>
      <c r="D3437" s="16" t="str">
        <f>HYPERLINK("https://freddywills.com/pick/5837/georgia-tech-5-5.html", "Georgia Tech -5.5")</f>
        <v>Georgia Tech -5.5</v>
      </c>
      <c r="E3437" s="11">
        <v>2.5</v>
      </c>
      <c r="F3437" s="11">
        <v>-1.1000000000000001</v>
      </c>
      <c r="G3437" s="11" t="s">
        <v>4</v>
      </c>
      <c r="H3437" s="13">
        <v>2272.73</v>
      </c>
      <c r="I3437" s="20">
        <f t="shared" si="124"/>
        <v>3.7532000000000294E-3</v>
      </c>
      <c r="J3437" s="13">
        <f t="shared" si="125"/>
        <v>375.32000000000016</v>
      </c>
    </row>
    <row r="3438" spans="1:10" x14ac:dyDescent="0.25">
      <c r="A3438" s="10">
        <v>40110</v>
      </c>
      <c r="B3438" s="11" t="s">
        <v>8</v>
      </c>
      <c r="C3438" s="11" t="s">
        <v>5</v>
      </c>
      <c r="D3438" s="16" t="str">
        <f>HYPERLINK("https://freddywills.com/pick/5838/minnesota-16.html", "Minnesota +16")</f>
        <v>Minnesota +16</v>
      </c>
      <c r="E3438" s="11">
        <v>2</v>
      </c>
      <c r="F3438" s="11">
        <v>-1.1000000000000001</v>
      </c>
      <c r="G3438" s="11" t="s">
        <v>6</v>
      </c>
      <c r="H3438" s="13">
        <v>-2000</v>
      </c>
      <c r="I3438" s="20">
        <f t="shared" si="124"/>
        <v>-1.8974099999999969E-2</v>
      </c>
      <c r="J3438" s="13">
        <f t="shared" si="125"/>
        <v>-1897.4099999999999</v>
      </c>
    </row>
    <row r="3439" spans="1:10" x14ac:dyDescent="0.25">
      <c r="A3439" s="10">
        <v>40110</v>
      </c>
      <c r="B3439" s="11" t="s">
        <v>8</v>
      </c>
      <c r="C3439" s="11" t="s">
        <v>5</v>
      </c>
      <c r="D3439" s="16" t="str">
        <f>HYPERLINK("https://freddywills.com/pick/5839/tenn-14-5-105.html", "Tenn +14.5 -105")</f>
        <v>Tenn +14.5 -105</v>
      </c>
      <c r="E3439" s="11">
        <v>4.5</v>
      </c>
      <c r="F3439" s="11">
        <v>-1.1000000000000001</v>
      </c>
      <c r="G3439" s="11" t="s">
        <v>4</v>
      </c>
      <c r="H3439" s="13">
        <v>4090.91</v>
      </c>
      <c r="I3439" s="20">
        <f t="shared" si="124"/>
        <v>1.025900000000031E-3</v>
      </c>
      <c r="J3439" s="13">
        <f t="shared" si="125"/>
        <v>102.59000000000015</v>
      </c>
    </row>
    <row r="3440" spans="1:10" x14ac:dyDescent="0.25">
      <c r="A3440" s="10">
        <v>40110</v>
      </c>
      <c r="B3440" s="11" t="s">
        <v>8</v>
      </c>
      <c r="C3440" s="11" t="s">
        <v>5</v>
      </c>
      <c r="D3440" s="16" t="str">
        <f>HYPERLINK("https://freddywills.com/pick/5840/tenn-7-100-2nd-half.html", "Tenn +7 +100 2nd Half")</f>
        <v>Tenn +7 +100 2nd Half</v>
      </c>
      <c r="E3440" s="11">
        <v>1</v>
      </c>
      <c r="F3440" s="11">
        <v>1</v>
      </c>
      <c r="G3440" s="11" t="s">
        <v>4</v>
      </c>
      <c r="H3440" s="13">
        <v>1000</v>
      </c>
      <c r="I3440" s="20">
        <f t="shared" si="124"/>
        <v>-3.9883199999999966E-2</v>
      </c>
      <c r="J3440" s="13">
        <f t="shared" si="125"/>
        <v>-3988.3199999999997</v>
      </c>
    </row>
    <row r="3441" spans="1:10" x14ac:dyDescent="0.25">
      <c r="A3441" s="10">
        <v>40110</v>
      </c>
      <c r="B3441" s="11" t="s">
        <v>8</v>
      </c>
      <c r="C3441" s="11" t="s">
        <v>5</v>
      </c>
      <c r="D3441" s="16" t="str">
        <f>HYPERLINK("https://freddywills.com/pick/5841/wake-forest-3.html", "Wake Forest +3")</f>
        <v>Wake Forest +3</v>
      </c>
      <c r="E3441" s="11">
        <v>3</v>
      </c>
      <c r="F3441" s="11">
        <v>-1.1000000000000001</v>
      </c>
      <c r="G3441" s="11" t="s">
        <v>9</v>
      </c>
      <c r="H3441" s="13">
        <v>0</v>
      </c>
      <c r="I3441" s="20">
        <f t="shared" si="124"/>
        <v>-4.9883199999999968E-2</v>
      </c>
      <c r="J3441" s="13">
        <f t="shared" si="125"/>
        <v>-4988.32</v>
      </c>
    </row>
    <row r="3442" spans="1:10" x14ac:dyDescent="0.25">
      <c r="A3442" s="10">
        <v>40110</v>
      </c>
      <c r="B3442" s="11" t="s">
        <v>8</v>
      </c>
      <c r="C3442" s="11" t="s">
        <v>5</v>
      </c>
      <c r="D3442" s="16" t="str">
        <f>HYPERLINK("https://freddywills.com/pick/5842/boston-college-7-5.html", "Boston College +7.5")</f>
        <v>Boston College +7.5</v>
      </c>
      <c r="E3442" s="11">
        <v>4</v>
      </c>
      <c r="F3442" s="11">
        <v>-1.1000000000000001</v>
      </c>
      <c r="G3442" s="11" t="s">
        <v>4</v>
      </c>
      <c r="H3442" s="13">
        <v>3636.36</v>
      </c>
      <c r="I3442" s="20">
        <f t="shared" si="124"/>
        <v>-4.9883199999999968E-2</v>
      </c>
      <c r="J3442" s="13">
        <f t="shared" si="125"/>
        <v>-4988.32</v>
      </c>
    </row>
    <row r="3443" spans="1:10" x14ac:dyDescent="0.25">
      <c r="A3443" s="10">
        <v>40110</v>
      </c>
      <c r="B3443" s="11" t="s">
        <v>8</v>
      </c>
      <c r="C3443" s="11" t="s">
        <v>5</v>
      </c>
      <c r="D3443" s="16" t="str">
        <f>HYPERLINK("https://freddywills.com/pick/5843/fau-3.html", "FAU +3")</f>
        <v>FAU +3</v>
      </c>
      <c r="E3443" s="11">
        <v>1.5</v>
      </c>
      <c r="F3443" s="11">
        <v>-1.1000000000000001</v>
      </c>
      <c r="G3443" s="11" t="s">
        <v>4</v>
      </c>
      <c r="H3443" s="13">
        <v>1363.64</v>
      </c>
      <c r="I3443" s="20">
        <f t="shared" si="124"/>
        <v>-8.6246799999999971E-2</v>
      </c>
      <c r="J3443" s="13">
        <f t="shared" si="125"/>
        <v>-8624.68</v>
      </c>
    </row>
    <row r="3444" spans="1:10" x14ac:dyDescent="0.25">
      <c r="A3444" s="10">
        <v>40110</v>
      </c>
      <c r="B3444" s="11" t="s">
        <v>8</v>
      </c>
      <c r="C3444" s="11" t="s">
        <v>5</v>
      </c>
      <c r="D3444" s="16" t="str">
        <f>HYPERLINK("https://freddywills.com/pick/5845/south-carolina-13.html", "South Carolina -13")</f>
        <v>South Carolina -13</v>
      </c>
      <c r="E3444" s="11">
        <v>4</v>
      </c>
      <c r="F3444" s="11">
        <v>-1.1000000000000001</v>
      </c>
      <c r="G3444" s="11" t="s">
        <v>6</v>
      </c>
      <c r="H3444" s="13">
        <v>-4000</v>
      </c>
      <c r="I3444" s="20">
        <f t="shared" si="124"/>
        <v>-9.9883199999999978E-2</v>
      </c>
      <c r="J3444" s="13">
        <f t="shared" si="125"/>
        <v>-9988.32</v>
      </c>
    </row>
    <row r="3445" spans="1:10" x14ac:dyDescent="0.25">
      <c r="A3445" s="10">
        <v>40108</v>
      </c>
      <c r="B3445" s="11" t="s">
        <v>8</v>
      </c>
      <c r="C3445" s="11" t="s">
        <v>5</v>
      </c>
      <c r="D3445" s="16" t="str">
        <f>HYPERLINK("https://freddywills.com/pick/5846/unc-2-5.html", "UNC -2.5")</f>
        <v>UNC -2.5</v>
      </c>
      <c r="E3445" s="11">
        <v>4</v>
      </c>
      <c r="F3445" s="11">
        <v>-1.1000000000000001</v>
      </c>
      <c r="G3445" s="11" t="s">
        <v>6</v>
      </c>
      <c r="H3445" s="13">
        <v>-4000</v>
      </c>
      <c r="I3445" s="20">
        <f t="shared" si="124"/>
        <v>-5.988319999999997E-2</v>
      </c>
      <c r="J3445" s="13">
        <f t="shared" si="125"/>
        <v>-5988.32</v>
      </c>
    </row>
    <row r="3446" spans="1:10" x14ac:dyDescent="0.25">
      <c r="A3446" s="10">
        <v>40107</v>
      </c>
      <c r="B3446" s="11" t="s">
        <v>8</v>
      </c>
      <c r="C3446" s="11" t="s">
        <v>5</v>
      </c>
      <c r="D3446" s="16" t="str">
        <f>HYPERLINK("https://freddywills.com/pick/5847/tulsa-7-120.html", "Tulsa -7 -120")</f>
        <v>Tulsa -7 -120</v>
      </c>
      <c r="E3446" s="11">
        <v>3</v>
      </c>
      <c r="F3446" s="11">
        <v>-1.2</v>
      </c>
      <c r="G3446" s="11" t="s">
        <v>6</v>
      </c>
      <c r="H3446" s="13">
        <v>-3000</v>
      </c>
      <c r="I3446" s="20">
        <f t="shared" si="124"/>
        <v>-1.9883199999999969E-2</v>
      </c>
      <c r="J3446" s="13">
        <f t="shared" si="125"/>
        <v>-1988.3199999999997</v>
      </c>
    </row>
    <row r="3447" spans="1:10" x14ac:dyDescent="0.25">
      <c r="A3447" s="10">
        <v>40105</v>
      </c>
      <c r="B3447" s="11" t="s">
        <v>2</v>
      </c>
      <c r="C3447" s="11" t="s">
        <v>5</v>
      </c>
      <c r="D3447" s="16" t="str">
        <f>HYPERLINK("https://freddywills.com/pick/5851/chargers-3.html", "Chargers -3")</f>
        <v>Chargers -3</v>
      </c>
      <c r="E3447" s="11">
        <v>4</v>
      </c>
      <c r="F3447" s="11">
        <v>-1.1000000000000001</v>
      </c>
      <c r="G3447" s="11" t="s">
        <v>6</v>
      </c>
      <c r="H3447" s="13">
        <v>-4000</v>
      </c>
      <c r="I3447" s="20">
        <f t="shared" si="124"/>
        <v>1.011680000000003E-2</v>
      </c>
      <c r="J3447" s="13">
        <f t="shared" si="125"/>
        <v>1011.6800000000003</v>
      </c>
    </row>
    <row r="3448" spans="1:10" x14ac:dyDescent="0.25">
      <c r="A3448" s="10">
        <v>40104</v>
      </c>
      <c r="B3448" s="11" t="s">
        <v>2</v>
      </c>
      <c r="C3448" s="11" t="s">
        <v>5</v>
      </c>
      <c r="D3448" s="16" t="str">
        <f>HYPERLINK("https://freddywills.com/pick/5852/saints-3.html", "Saints -3")</f>
        <v>Saints -3</v>
      </c>
      <c r="E3448" s="11">
        <v>1</v>
      </c>
      <c r="F3448" s="11">
        <v>-1.1000000000000001</v>
      </c>
      <c r="G3448" s="11" t="s">
        <v>4</v>
      </c>
      <c r="H3448" s="13">
        <v>909.09</v>
      </c>
      <c r="I3448" s="20">
        <f t="shared" si="124"/>
        <v>5.0116800000000031E-2</v>
      </c>
      <c r="J3448" s="13">
        <f t="shared" si="125"/>
        <v>5011.68</v>
      </c>
    </row>
    <row r="3449" spans="1:10" x14ac:dyDescent="0.25">
      <c r="A3449" s="10">
        <v>40104</v>
      </c>
      <c r="B3449" s="11" t="s">
        <v>2</v>
      </c>
      <c r="C3449" s="11" t="s">
        <v>10</v>
      </c>
      <c r="D3449" s="16" t="str">
        <f>HYPERLINK("https://freddywills.com/pick/5853/jax-nyj-3.html", "JAX/NYJ -3")</f>
        <v>JAX/NYJ -3</v>
      </c>
      <c r="E3449" s="11">
        <v>5</v>
      </c>
      <c r="F3449" s="11">
        <v>-1.1000000000000001</v>
      </c>
      <c r="G3449" s="11" t="s">
        <v>6</v>
      </c>
      <c r="H3449" s="13">
        <v>-5000</v>
      </c>
      <c r="I3449" s="20">
        <f t="shared" si="124"/>
        <v>4.1025900000000032E-2</v>
      </c>
      <c r="J3449" s="13">
        <f t="shared" si="125"/>
        <v>4102.59</v>
      </c>
    </row>
    <row r="3450" spans="1:10" x14ac:dyDescent="0.25">
      <c r="A3450" s="10">
        <v>40104</v>
      </c>
      <c r="B3450" s="11" t="s">
        <v>2</v>
      </c>
      <c r="C3450" s="11" t="s">
        <v>5</v>
      </c>
      <c r="D3450" s="16" t="str">
        <f>HYPERLINK("https://freddywills.com/pick/5854/seahawks-2-5.html", "Seahawks -2.5")</f>
        <v>Seahawks -2.5</v>
      </c>
      <c r="E3450" s="11">
        <v>3</v>
      </c>
      <c r="F3450" s="11">
        <v>-1.1000000000000001</v>
      </c>
      <c r="G3450" s="11" t="s">
        <v>6</v>
      </c>
      <c r="H3450" s="13">
        <v>-3000</v>
      </c>
      <c r="I3450" s="20">
        <f t="shared" si="124"/>
        <v>9.1025900000000035E-2</v>
      </c>
      <c r="J3450" s="13">
        <f t="shared" si="125"/>
        <v>9102.59</v>
      </c>
    </row>
    <row r="3451" spans="1:10" x14ac:dyDescent="0.25">
      <c r="A3451" s="10">
        <v>40104</v>
      </c>
      <c r="B3451" s="11" t="s">
        <v>2</v>
      </c>
      <c r="C3451" s="11" t="s">
        <v>5</v>
      </c>
      <c r="D3451" s="16" t="str">
        <f>HYPERLINK("https://freddywills.com/pick/5855/steelers-13-5.html", "Steelers -13.5")</f>
        <v>Steelers -13.5</v>
      </c>
      <c r="E3451" s="11">
        <v>4.5</v>
      </c>
      <c r="F3451" s="11">
        <v>-1.1000000000000001</v>
      </c>
      <c r="G3451" s="11" t="s">
        <v>6</v>
      </c>
      <c r="H3451" s="13">
        <v>-4500</v>
      </c>
      <c r="I3451" s="20">
        <f t="shared" si="124"/>
        <v>0.12102590000000003</v>
      </c>
      <c r="J3451" s="13">
        <f t="shared" si="125"/>
        <v>12102.59</v>
      </c>
    </row>
    <row r="3452" spans="1:10" x14ac:dyDescent="0.25">
      <c r="A3452" s="10">
        <v>40103</v>
      </c>
      <c r="B3452" s="11" t="s">
        <v>8</v>
      </c>
      <c r="C3452" s="11" t="s">
        <v>5</v>
      </c>
      <c r="D3452" s="16" t="str">
        <f>HYPERLINK("https://freddywills.com/pick/5856/oklahoma-3-5.html", "Oklahoma +3.5")</f>
        <v>Oklahoma +3.5</v>
      </c>
      <c r="E3452" s="11">
        <v>4</v>
      </c>
      <c r="F3452" s="11">
        <v>-1.1000000000000001</v>
      </c>
      <c r="G3452" s="11" t="s">
        <v>4</v>
      </c>
      <c r="H3452" s="13">
        <v>3636.36</v>
      </c>
      <c r="I3452" s="20">
        <f t="shared" si="124"/>
        <v>0.16602590000000003</v>
      </c>
      <c r="J3452" s="13">
        <f t="shared" si="125"/>
        <v>16602.59</v>
      </c>
    </row>
    <row r="3453" spans="1:10" x14ac:dyDescent="0.25">
      <c r="A3453" s="10">
        <v>40103</v>
      </c>
      <c r="B3453" s="11" t="s">
        <v>8</v>
      </c>
      <c r="C3453" s="11" t="s">
        <v>5</v>
      </c>
      <c r="D3453" s="16" t="str">
        <f>HYPERLINK("https://freddywills.com/pick/5857/msu-13-5.html", "MSU -13.5")</f>
        <v>MSU -13.5</v>
      </c>
      <c r="E3453" s="11">
        <v>3</v>
      </c>
      <c r="F3453" s="11">
        <v>-1.1000000000000001</v>
      </c>
      <c r="G3453" s="11" t="s">
        <v>6</v>
      </c>
      <c r="H3453" s="13">
        <v>-3000</v>
      </c>
      <c r="I3453" s="20">
        <f t="shared" si="124"/>
        <v>0.12966230000000004</v>
      </c>
      <c r="J3453" s="13">
        <f t="shared" si="125"/>
        <v>12966.23</v>
      </c>
    </row>
    <row r="3454" spans="1:10" x14ac:dyDescent="0.25">
      <c r="A3454" s="10">
        <v>40103</v>
      </c>
      <c r="B3454" s="11" t="s">
        <v>8</v>
      </c>
      <c r="C3454" s="11" t="s">
        <v>5</v>
      </c>
      <c r="D3454" s="16" t="str">
        <f>HYPERLINK("https://freddywills.com/pick/5858/fau-pk.html", "FAU PK")</f>
        <v>FAU PK</v>
      </c>
      <c r="E3454" s="11">
        <v>5</v>
      </c>
      <c r="F3454" s="11">
        <v>-1.1000000000000001</v>
      </c>
      <c r="G3454" s="11" t="s">
        <v>4</v>
      </c>
      <c r="H3454" s="13">
        <v>4545.45</v>
      </c>
      <c r="I3454" s="20">
        <f t="shared" si="124"/>
        <v>0.15966230000000003</v>
      </c>
      <c r="J3454" s="13">
        <f t="shared" si="125"/>
        <v>15966.23</v>
      </c>
    </row>
    <row r="3455" spans="1:10" x14ac:dyDescent="0.25">
      <c r="A3455" s="10">
        <v>40103</v>
      </c>
      <c r="B3455" s="11" t="s">
        <v>8</v>
      </c>
      <c r="C3455" s="11" t="s">
        <v>5</v>
      </c>
      <c r="D3455" s="16" t="str">
        <f>HYPERLINK("https://freddywills.com/pick/5859/boston-college-2-5-105.html", "Boston College -2.5 -105")</f>
        <v>Boston College -2.5 -105</v>
      </c>
      <c r="E3455" s="11">
        <v>4</v>
      </c>
      <c r="F3455" s="11">
        <v>-1.05</v>
      </c>
      <c r="G3455" s="11" t="s">
        <v>4</v>
      </c>
      <c r="H3455" s="13">
        <v>3809.52</v>
      </c>
      <c r="I3455" s="20">
        <f t="shared" si="124"/>
        <v>0.11420780000000003</v>
      </c>
      <c r="J3455" s="13">
        <f t="shared" si="125"/>
        <v>11420.779999999999</v>
      </c>
    </row>
    <row r="3456" spans="1:10" x14ac:dyDescent="0.25">
      <c r="A3456" s="10">
        <v>40103</v>
      </c>
      <c r="B3456" s="11" t="s">
        <v>8</v>
      </c>
      <c r="C3456" s="11" t="s">
        <v>5</v>
      </c>
      <c r="D3456" s="16" t="str">
        <f>HYPERLINK("https://freddywills.com/pick/5860/illinois-3.html", "Illinois -3")</f>
        <v>Illinois -3</v>
      </c>
      <c r="E3456" s="11">
        <v>1.5</v>
      </c>
      <c r="F3456" s="11">
        <v>-1.1000000000000001</v>
      </c>
      <c r="G3456" s="11" t="s">
        <v>6</v>
      </c>
      <c r="H3456" s="13">
        <v>-1500</v>
      </c>
      <c r="I3456" s="20">
        <f t="shared" si="124"/>
        <v>7.6112600000000016E-2</v>
      </c>
      <c r="J3456" s="13">
        <f t="shared" si="125"/>
        <v>7611.2599999999984</v>
      </c>
    </row>
    <row r="3457" spans="1:10" x14ac:dyDescent="0.25">
      <c r="A3457" s="10">
        <v>40103</v>
      </c>
      <c r="B3457" s="11" t="s">
        <v>8</v>
      </c>
      <c r="C3457" s="11" t="s">
        <v>5</v>
      </c>
      <c r="D3457" s="16" t="str">
        <f>HYPERLINK("https://freddywills.com/pick/5861/arizona-4.html", "Arizona -4")</f>
        <v>Arizona -4</v>
      </c>
      <c r="E3457" s="11">
        <v>3.5</v>
      </c>
      <c r="F3457" s="11">
        <v>-1.1000000000000001</v>
      </c>
      <c r="G3457" s="11" t="s">
        <v>4</v>
      </c>
      <c r="H3457" s="13">
        <v>3181.82</v>
      </c>
      <c r="I3457" s="20">
        <f t="shared" si="124"/>
        <v>9.1112600000000016E-2</v>
      </c>
      <c r="J3457" s="13">
        <f t="shared" si="125"/>
        <v>9111.2599999999984</v>
      </c>
    </row>
    <row r="3458" spans="1:10" x14ac:dyDescent="0.25">
      <c r="A3458" s="10">
        <v>40102</v>
      </c>
      <c r="B3458" s="11" t="s">
        <v>8</v>
      </c>
      <c r="C3458" s="11" t="s">
        <v>5</v>
      </c>
      <c r="D3458" s="16" t="str">
        <f>HYPERLINK("https://freddywills.com/pick/5863/rutgers-6.html", "Rutgers +6")</f>
        <v>Rutgers +6</v>
      </c>
      <c r="E3458" s="11">
        <v>2.5</v>
      </c>
      <c r="F3458" s="11">
        <v>-1.1000000000000001</v>
      </c>
      <c r="G3458" s="11" t="s">
        <v>6</v>
      </c>
      <c r="H3458" s="13">
        <v>-2500</v>
      </c>
      <c r="I3458" s="20">
        <f t="shared" si="124"/>
        <v>5.9294400000000004E-2</v>
      </c>
      <c r="J3458" s="13">
        <f t="shared" si="125"/>
        <v>5929.4399999999987</v>
      </c>
    </row>
    <row r="3459" spans="1:10" x14ac:dyDescent="0.25">
      <c r="A3459" s="10">
        <v>40100</v>
      </c>
      <c r="B3459" s="11" t="s">
        <v>8</v>
      </c>
      <c r="C3459" s="11" t="s">
        <v>5</v>
      </c>
      <c r="D3459" s="16" t="str">
        <f>HYPERLINK("https://freddywills.com/pick/5867/tulsa-10-115.html", "Tulsa +10 -115")</f>
        <v>Tulsa +10 -115</v>
      </c>
      <c r="E3459" s="11">
        <v>3.5</v>
      </c>
      <c r="F3459" s="11">
        <v>-1.1499999999999999</v>
      </c>
      <c r="G3459" s="11" t="s">
        <v>4</v>
      </c>
      <c r="H3459" s="13">
        <v>3043.48</v>
      </c>
      <c r="I3459" s="20">
        <f t="shared" si="124"/>
        <v>8.4294400000000005E-2</v>
      </c>
      <c r="J3459" s="13">
        <f t="shared" si="125"/>
        <v>8429.4399999999987</v>
      </c>
    </row>
    <row r="3460" spans="1:10" x14ac:dyDescent="0.25">
      <c r="A3460" s="10">
        <v>40099</v>
      </c>
      <c r="B3460" s="11" t="s">
        <v>8</v>
      </c>
      <c r="C3460" s="11" t="s">
        <v>5</v>
      </c>
      <c r="D3460" s="16" t="str">
        <f>HYPERLINK("https://freddywills.com/pick/5868/la-monroe-2-5.html", "LA Monroe -2.5")</f>
        <v>LA Monroe -2.5</v>
      </c>
      <c r="E3460" s="11">
        <v>3</v>
      </c>
      <c r="F3460" s="11">
        <v>-1.1000000000000001</v>
      </c>
      <c r="G3460" s="11" t="s">
        <v>4</v>
      </c>
      <c r="H3460" s="13">
        <v>2727.27</v>
      </c>
      <c r="I3460" s="20">
        <f t="shared" si="124"/>
        <v>5.3859600000000007E-2</v>
      </c>
      <c r="J3460" s="13">
        <f t="shared" si="125"/>
        <v>5385.9599999999991</v>
      </c>
    </row>
    <row r="3461" spans="1:10" x14ac:dyDescent="0.25">
      <c r="A3461" s="10">
        <v>40098</v>
      </c>
      <c r="B3461" s="11" t="s">
        <v>2</v>
      </c>
      <c r="C3461" s="11" t="s">
        <v>5</v>
      </c>
      <c r="D3461" s="16" t="str">
        <f>HYPERLINK("https://freddywills.com/pick/5871/jets-2-5.html", "Jets -2.5")</f>
        <v>Jets -2.5</v>
      </c>
      <c r="E3461" s="11">
        <v>4</v>
      </c>
      <c r="F3461" s="11">
        <v>-1.1000000000000001</v>
      </c>
      <c r="G3461" s="11" t="s">
        <v>6</v>
      </c>
      <c r="H3461" s="13">
        <v>-4000</v>
      </c>
      <c r="I3461" s="20">
        <f t="shared" si="124"/>
        <v>2.6586900000000004E-2</v>
      </c>
      <c r="J3461" s="13">
        <f t="shared" si="125"/>
        <v>2658.6899999999987</v>
      </c>
    </row>
    <row r="3462" spans="1:10" x14ac:dyDescent="0.25">
      <c r="A3462" s="10">
        <v>40097</v>
      </c>
      <c r="B3462" s="11" t="s">
        <v>2</v>
      </c>
      <c r="C3462" s="11" t="s">
        <v>5</v>
      </c>
      <c r="D3462" s="16" t="str">
        <f>HYPERLINK("https://freddywills.com/pick/5872/seahawks.html", "Seahawks")</f>
        <v>Seahawks</v>
      </c>
      <c r="E3462" s="11">
        <v>4.5</v>
      </c>
      <c r="F3462" s="11">
        <v>-1.1000000000000001</v>
      </c>
      <c r="G3462" s="11" t="s">
        <v>4</v>
      </c>
      <c r="H3462" s="13">
        <v>4090.91</v>
      </c>
      <c r="I3462" s="20">
        <f t="shared" si="124"/>
        <v>6.6586900000000004E-2</v>
      </c>
      <c r="J3462" s="13">
        <f t="shared" si="125"/>
        <v>6658.6899999999987</v>
      </c>
    </row>
    <row r="3463" spans="1:10" x14ac:dyDescent="0.25">
      <c r="A3463" s="10">
        <v>40097</v>
      </c>
      <c r="B3463" s="11" t="s">
        <v>2</v>
      </c>
      <c r="C3463" s="11" t="s">
        <v>5</v>
      </c>
      <c r="D3463" s="16" t="str">
        <f>HYPERLINK("https://freddywills.com/pick/5874/patriots-3.html", "Patriots -3")</f>
        <v>Patriots -3</v>
      </c>
      <c r="E3463" s="11">
        <v>1</v>
      </c>
      <c r="F3463" s="11">
        <v>-1.1000000000000001</v>
      </c>
      <c r="G3463" s="11" t="s">
        <v>6</v>
      </c>
      <c r="H3463" s="13">
        <v>-1000</v>
      </c>
      <c r="I3463" s="20">
        <f t="shared" si="124"/>
        <v>2.5677800000000008E-2</v>
      </c>
      <c r="J3463" s="13">
        <f t="shared" si="125"/>
        <v>2567.7799999999988</v>
      </c>
    </row>
    <row r="3464" spans="1:10" x14ac:dyDescent="0.25">
      <c r="A3464" s="10">
        <v>40097</v>
      </c>
      <c r="B3464" s="11" t="s">
        <v>2</v>
      </c>
      <c r="C3464" s="11" t="s">
        <v>5</v>
      </c>
      <c r="D3464" s="16" t="str">
        <f>HYPERLINK("https://freddywills.com/pick/5875/panthers-4.html", "Panthers -4")</f>
        <v>Panthers -4</v>
      </c>
      <c r="E3464" s="11">
        <v>3.5</v>
      </c>
      <c r="F3464" s="11">
        <v>-1.1000000000000001</v>
      </c>
      <c r="G3464" s="11" t="s">
        <v>6</v>
      </c>
      <c r="H3464" s="13">
        <v>-3500</v>
      </c>
      <c r="I3464" s="20">
        <f t="shared" si="124"/>
        <v>3.567780000000001E-2</v>
      </c>
      <c r="J3464" s="13">
        <f t="shared" si="125"/>
        <v>3567.7799999999988</v>
      </c>
    </row>
    <row r="3465" spans="1:10" x14ac:dyDescent="0.25">
      <c r="A3465" s="10">
        <v>40097</v>
      </c>
      <c r="B3465" s="11" t="s">
        <v>2</v>
      </c>
      <c r="C3465" s="11" t="s">
        <v>5</v>
      </c>
      <c r="D3465" s="16" t="str">
        <f>HYPERLINK("https://freddywills.com/pick/5876/titans-4.html", "Titans +4")</f>
        <v>Titans +4</v>
      </c>
      <c r="E3465" s="11">
        <v>3.5</v>
      </c>
      <c r="F3465" s="11">
        <v>-1.1000000000000001</v>
      </c>
      <c r="G3465" s="11" t="s">
        <v>6</v>
      </c>
      <c r="H3465" s="13">
        <v>-3500</v>
      </c>
      <c r="I3465" s="20">
        <f t="shared" si="124"/>
        <v>7.0677800000000013E-2</v>
      </c>
      <c r="J3465" s="13">
        <f t="shared" si="125"/>
        <v>7067.7799999999988</v>
      </c>
    </row>
    <row r="3466" spans="1:10" x14ac:dyDescent="0.25">
      <c r="A3466" s="10">
        <v>40096</v>
      </c>
      <c r="B3466" s="11" t="s">
        <v>8</v>
      </c>
      <c r="C3466" s="11" t="s">
        <v>5</v>
      </c>
      <c r="D3466" s="16" t="str">
        <f>HYPERLINK("https://freddywills.com/pick/5877/arkansas-3.html", "Arkansas +3")</f>
        <v>Arkansas +3</v>
      </c>
      <c r="E3466" s="11">
        <v>4.5</v>
      </c>
      <c r="F3466" s="11">
        <v>-1.1000000000000001</v>
      </c>
      <c r="G3466" s="11" t="s">
        <v>4</v>
      </c>
      <c r="H3466" s="13">
        <v>4090.91</v>
      </c>
      <c r="I3466" s="20">
        <f t="shared" si="124"/>
        <v>0.10567780000000002</v>
      </c>
      <c r="J3466" s="13">
        <f t="shared" si="125"/>
        <v>10567.779999999999</v>
      </c>
    </row>
    <row r="3467" spans="1:10" x14ac:dyDescent="0.25">
      <c r="A3467" s="10">
        <v>40096</v>
      </c>
      <c r="B3467" s="11" t="s">
        <v>8</v>
      </c>
      <c r="C3467" s="11" t="s">
        <v>5</v>
      </c>
      <c r="D3467" s="16" t="str">
        <f>HYPERLINK("https://freddywills.com/pick/5878/miss-5.html", "Miss +5")</f>
        <v>Miss +5</v>
      </c>
      <c r="E3467" s="11">
        <v>3.5</v>
      </c>
      <c r="F3467" s="11">
        <v>-1.1000000000000001</v>
      </c>
      <c r="G3467" s="11" t="s">
        <v>6</v>
      </c>
      <c r="H3467" s="13">
        <v>-3500</v>
      </c>
      <c r="I3467" s="20">
        <f t="shared" si="124"/>
        <v>6.4768700000000012E-2</v>
      </c>
      <c r="J3467" s="13">
        <f t="shared" si="125"/>
        <v>6476.869999999999</v>
      </c>
    </row>
    <row r="3468" spans="1:10" x14ac:dyDescent="0.25">
      <c r="A3468" s="10">
        <v>40096</v>
      </c>
      <c r="B3468" s="11" t="s">
        <v>8</v>
      </c>
      <c r="C3468" s="11" t="s">
        <v>18</v>
      </c>
      <c r="D3468" s="16" t="str">
        <f>HYPERLINK("https://freddywills.com/pick/5879/western-mich-305.html", "Western Mich +305")</f>
        <v>Western Mich +305</v>
      </c>
      <c r="E3468" s="11">
        <v>1</v>
      </c>
      <c r="F3468" s="11">
        <v>3.05</v>
      </c>
      <c r="G3468" s="11" t="s">
        <v>4</v>
      </c>
      <c r="H3468" s="13">
        <v>3050</v>
      </c>
      <c r="I3468" s="20">
        <f t="shared" si="124"/>
        <v>9.9768700000000016E-2</v>
      </c>
      <c r="J3468" s="13">
        <f t="shared" si="125"/>
        <v>9976.869999999999</v>
      </c>
    </row>
    <row r="3469" spans="1:10" x14ac:dyDescent="0.25">
      <c r="A3469" s="10">
        <v>40096</v>
      </c>
      <c r="B3469" s="11" t="s">
        <v>8</v>
      </c>
      <c r="C3469" s="11" t="s">
        <v>5</v>
      </c>
      <c r="D3469" s="16" t="str">
        <f>HYPERLINK("https://freddywills.com/pick/5880/western-mich-10-115.html", "Western Mich +10 -115")</f>
        <v>Western Mich +10 -115</v>
      </c>
      <c r="E3469" s="11">
        <v>3</v>
      </c>
      <c r="F3469" s="11">
        <v>-1.1499999999999999</v>
      </c>
      <c r="G3469" s="11" t="s">
        <v>4</v>
      </c>
      <c r="H3469" s="13">
        <v>2608.6999999999998</v>
      </c>
      <c r="I3469" s="20">
        <f t="shared" si="124"/>
        <v>6.9268700000000016E-2</v>
      </c>
      <c r="J3469" s="13">
        <f t="shared" si="125"/>
        <v>6926.869999999999</v>
      </c>
    </row>
    <row r="3470" spans="1:10" x14ac:dyDescent="0.25">
      <c r="A3470" s="10">
        <v>40096</v>
      </c>
      <c r="B3470" s="11" t="s">
        <v>8</v>
      </c>
      <c r="C3470" s="11" t="s">
        <v>5</v>
      </c>
      <c r="D3470" s="16" t="str">
        <f>HYPERLINK("https://freddywills.com/pick/5881/oregon-state-pk.html", "Oregon State pk")</f>
        <v>Oregon State pk</v>
      </c>
      <c r="E3470" s="11">
        <v>5</v>
      </c>
      <c r="F3470" s="11">
        <v>-1.1000000000000001</v>
      </c>
      <c r="G3470" s="11" t="s">
        <v>4</v>
      </c>
      <c r="H3470" s="13">
        <v>4545.45</v>
      </c>
      <c r="I3470" s="20">
        <f t="shared" si="124"/>
        <v>4.318170000000001E-2</v>
      </c>
      <c r="J3470" s="13">
        <f t="shared" si="125"/>
        <v>4318.1699999999992</v>
      </c>
    </row>
    <row r="3471" spans="1:10" x14ac:dyDescent="0.25">
      <c r="A3471" s="10">
        <v>40096</v>
      </c>
      <c r="B3471" s="11" t="s">
        <v>8</v>
      </c>
      <c r="C3471" s="11" t="s">
        <v>10</v>
      </c>
      <c r="D3471" s="16" t="str">
        <f>HYPERLINK("https://freddywills.com/pick/5882/ullaf-iowa-2.html", "ULLAF/Iowa -2")</f>
        <v>ULLAF/Iowa -2</v>
      </c>
      <c r="E3471" s="11">
        <v>3</v>
      </c>
      <c r="F3471" s="11">
        <v>-1.1000000000000001</v>
      </c>
      <c r="G3471" s="11" t="s">
        <v>9</v>
      </c>
      <c r="H3471" s="13">
        <v>0</v>
      </c>
      <c r="I3471" s="20">
        <f t="shared" si="124"/>
        <v>-2.2727999999999828E-3</v>
      </c>
      <c r="J3471" s="13">
        <f t="shared" si="125"/>
        <v>-227.28000000000043</v>
      </c>
    </row>
    <row r="3472" spans="1:10" x14ac:dyDescent="0.25">
      <c r="A3472" s="10">
        <v>40096</v>
      </c>
      <c r="B3472" s="11" t="s">
        <v>8</v>
      </c>
      <c r="C3472" s="11" t="s">
        <v>5</v>
      </c>
      <c r="D3472" s="16" t="str">
        <f>HYPERLINK("https://freddywills.com/pick/5883/memphis-2.html", "Memphis +2")</f>
        <v>Memphis +2</v>
      </c>
      <c r="E3472" s="11">
        <v>1.5</v>
      </c>
      <c r="F3472" s="11">
        <v>-1.1000000000000001</v>
      </c>
      <c r="G3472" s="11" t="s">
        <v>4</v>
      </c>
      <c r="H3472" s="13">
        <v>1363.64</v>
      </c>
      <c r="I3472" s="20">
        <f t="shared" si="124"/>
        <v>-2.2727999999999828E-3</v>
      </c>
      <c r="J3472" s="13">
        <f t="shared" si="125"/>
        <v>-227.28000000000043</v>
      </c>
    </row>
    <row r="3473" spans="1:10" x14ac:dyDescent="0.25">
      <c r="A3473" s="10">
        <v>40095</v>
      </c>
      <c r="B3473" s="11" t="s">
        <v>8</v>
      </c>
      <c r="C3473" s="11" t="s">
        <v>18</v>
      </c>
      <c r="D3473" s="16" t="str">
        <f>HYPERLINK("https://freddywills.com/pick/5884/angels-110.html", "Angels -110")</f>
        <v>Angels -110</v>
      </c>
      <c r="E3473" s="11">
        <v>4</v>
      </c>
      <c r="F3473" s="11">
        <v>-1.1000000000000001</v>
      </c>
      <c r="G3473" s="11" t="s">
        <v>4</v>
      </c>
      <c r="H3473" s="13">
        <v>3636.36</v>
      </c>
      <c r="I3473" s="20">
        <f t="shared" si="124"/>
        <v>-1.5909199999999984E-2</v>
      </c>
      <c r="J3473" s="13">
        <f t="shared" si="125"/>
        <v>-1590.9200000000005</v>
      </c>
    </row>
    <row r="3474" spans="1:10" x14ac:dyDescent="0.25">
      <c r="A3474" s="10">
        <v>40094</v>
      </c>
      <c r="B3474" s="11" t="s">
        <v>8</v>
      </c>
      <c r="C3474" s="11" t="s">
        <v>5</v>
      </c>
      <c r="D3474" s="16" t="str">
        <f>HYPERLINK("https://freddywills.com/pick/5886/missouri-3-5.html", "Missouri +3.5")</f>
        <v>Missouri +3.5</v>
      </c>
      <c r="E3474" s="11">
        <v>3</v>
      </c>
      <c r="F3474" s="11">
        <v>-1.1000000000000001</v>
      </c>
      <c r="G3474" s="11" t="s">
        <v>6</v>
      </c>
      <c r="H3474" s="13">
        <v>-3000</v>
      </c>
      <c r="I3474" s="20">
        <f t="shared" ref="I3474:I3535" si="126">(H3474/100000)+I3475</f>
        <v>-5.2272799999999987E-2</v>
      </c>
      <c r="J3474" s="13">
        <f t="shared" ref="J3474:J3526" si="127">J3475+H3474</f>
        <v>-5227.2800000000007</v>
      </c>
    </row>
    <row r="3475" spans="1:10" x14ac:dyDescent="0.25">
      <c r="A3475" s="10">
        <v>40094</v>
      </c>
      <c r="B3475" s="11" t="s">
        <v>8</v>
      </c>
      <c r="C3475" s="11" t="s">
        <v>7</v>
      </c>
      <c r="D3475" s="16" t="str">
        <f>HYPERLINK("https://freddywills.com/pick/5887/under-51.html", "Under 51")</f>
        <v>Under 51</v>
      </c>
      <c r="E3475" s="11">
        <v>1</v>
      </c>
      <c r="F3475" s="11">
        <v>-1.1000000000000001</v>
      </c>
      <c r="G3475" s="11" t="s">
        <v>4</v>
      </c>
      <c r="H3475" s="13">
        <v>909.09</v>
      </c>
      <c r="I3475" s="20">
        <f t="shared" si="126"/>
        <v>-2.2272799999999988E-2</v>
      </c>
      <c r="J3475" s="13">
        <f t="shared" si="127"/>
        <v>-2227.2800000000002</v>
      </c>
    </row>
    <row r="3476" spans="1:10" x14ac:dyDescent="0.25">
      <c r="A3476" s="10">
        <v>40092</v>
      </c>
      <c r="B3476" s="11" t="s">
        <v>8</v>
      </c>
      <c r="C3476" s="11" t="s">
        <v>5</v>
      </c>
      <c r="D3476" s="16" t="str">
        <f>HYPERLINK("https://freddywills.com/pick/5896/mtsu-7-5.html", "MTSU +7.5")</f>
        <v>MTSU +7.5</v>
      </c>
      <c r="E3476" s="11">
        <v>1.5</v>
      </c>
      <c r="F3476" s="11">
        <v>-1.1000000000000001</v>
      </c>
      <c r="G3476" s="11" t="s">
        <v>6</v>
      </c>
      <c r="H3476" s="13">
        <v>-1500</v>
      </c>
      <c r="I3476" s="20">
        <f t="shared" si="126"/>
        <v>-3.1363699999999987E-2</v>
      </c>
      <c r="J3476" s="13">
        <f t="shared" si="127"/>
        <v>-3136.3700000000003</v>
      </c>
    </row>
    <row r="3477" spans="1:10" x14ac:dyDescent="0.25">
      <c r="A3477" s="10">
        <v>40091</v>
      </c>
      <c r="B3477" s="11" t="s">
        <v>2</v>
      </c>
      <c r="C3477" s="11" t="s">
        <v>5</v>
      </c>
      <c r="D3477" s="16" t="str">
        <f>HYPERLINK("https://freddywills.com/pick/5897/vikings-4.html", "Vikings -4")</f>
        <v>Vikings -4</v>
      </c>
      <c r="E3477" s="11">
        <v>3.5</v>
      </c>
      <c r="F3477" s="11">
        <v>-1.1000000000000001</v>
      </c>
      <c r="G3477" s="11" t="s">
        <v>4</v>
      </c>
      <c r="H3477" s="13">
        <v>3181.82</v>
      </c>
      <c r="I3477" s="20">
        <f t="shared" si="126"/>
        <v>-1.6363699999999988E-2</v>
      </c>
      <c r="J3477" s="13">
        <f t="shared" si="127"/>
        <v>-1636.3700000000003</v>
      </c>
    </row>
    <row r="3478" spans="1:10" x14ac:dyDescent="0.25">
      <c r="A3478" s="10">
        <v>40090</v>
      </c>
      <c r="B3478" s="11" t="s">
        <v>2</v>
      </c>
      <c r="C3478" s="11" t="s">
        <v>5</v>
      </c>
      <c r="D3478" s="16" t="str">
        <f>HYPERLINK("https://freddywills.com/pick/5898/patriots.html", "Patriots")</f>
        <v>Patriots</v>
      </c>
      <c r="E3478" s="11">
        <v>4</v>
      </c>
      <c r="F3478" s="11">
        <v>-1.1000000000000001</v>
      </c>
      <c r="G3478" s="11" t="s">
        <v>4</v>
      </c>
      <c r="H3478" s="13">
        <v>3636.36</v>
      </c>
      <c r="I3478" s="20">
        <f t="shared" si="126"/>
        <v>-4.8181899999999993E-2</v>
      </c>
      <c r="J3478" s="13">
        <f t="shared" si="127"/>
        <v>-4818.1900000000005</v>
      </c>
    </row>
    <row r="3479" spans="1:10" x14ac:dyDescent="0.25">
      <c r="A3479" s="10">
        <v>40090</v>
      </c>
      <c r="B3479" s="11" t="s">
        <v>2</v>
      </c>
      <c r="C3479" s="11" t="s">
        <v>10</v>
      </c>
      <c r="D3479" s="16" t="str">
        <f>HYPERLINK("https://freddywills.com/pick/5899/bills-6-cowboys-3.html", "Bills +6/Cowboys +3")</f>
        <v>Bills +6/Cowboys +3</v>
      </c>
      <c r="E3479" s="11">
        <v>3</v>
      </c>
      <c r="F3479" s="11">
        <v>-1.1000000000000001</v>
      </c>
      <c r="G3479" s="11" t="s">
        <v>6</v>
      </c>
      <c r="H3479" s="13">
        <v>-3000</v>
      </c>
      <c r="I3479" s="20">
        <f t="shared" si="126"/>
        <v>-8.4545499999999996E-2</v>
      </c>
      <c r="J3479" s="13">
        <f t="shared" si="127"/>
        <v>-8454.5500000000011</v>
      </c>
    </row>
    <row r="3480" spans="1:10" x14ac:dyDescent="0.25">
      <c r="A3480" s="10">
        <v>40089</v>
      </c>
      <c r="B3480" s="11" t="s">
        <v>8</v>
      </c>
      <c r="C3480" s="11" t="s">
        <v>5</v>
      </c>
      <c r="D3480" s="16" t="str">
        <f>HYPERLINK("https://freddywills.com/pick/5900/michigan-sate-2-5.html", "Michigan Sate -2.5")</f>
        <v>Michigan Sate -2.5</v>
      </c>
      <c r="E3480" s="11">
        <v>4.5</v>
      </c>
      <c r="F3480" s="11">
        <v>-1.1000000000000001</v>
      </c>
      <c r="G3480" s="11" t="s">
        <v>4</v>
      </c>
      <c r="H3480" s="13">
        <v>4090.91</v>
      </c>
      <c r="I3480" s="20">
        <f t="shared" si="126"/>
        <v>-5.4545500000000004E-2</v>
      </c>
      <c r="J3480" s="13">
        <f t="shared" si="127"/>
        <v>-5454.5500000000011</v>
      </c>
    </row>
    <row r="3481" spans="1:10" x14ac:dyDescent="0.25">
      <c r="A3481" s="10">
        <v>40089</v>
      </c>
      <c r="B3481" s="11" t="s">
        <v>8</v>
      </c>
      <c r="C3481" s="11" t="s">
        <v>5</v>
      </c>
      <c r="D3481" s="16" t="str">
        <f>HYPERLINK("https://freddywills.com/pick/5901/wisconsin-3.html", "Wisconsin +3")</f>
        <v>Wisconsin +3</v>
      </c>
      <c r="E3481" s="11">
        <v>2.5</v>
      </c>
      <c r="F3481" s="11">
        <v>-1.1000000000000001</v>
      </c>
      <c r="G3481" s="11" t="s">
        <v>4</v>
      </c>
      <c r="H3481" s="13">
        <v>2272.73</v>
      </c>
      <c r="I3481" s="20">
        <f t="shared" si="126"/>
        <v>-9.5454600000000001E-2</v>
      </c>
      <c r="J3481" s="13">
        <f t="shared" si="127"/>
        <v>-9545.4600000000009</v>
      </c>
    </row>
    <row r="3482" spans="1:10" x14ac:dyDescent="0.25">
      <c r="A3482" s="10">
        <v>40089</v>
      </c>
      <c r="B3482" s="11" t="s">
        <v>8</v>
      </c>
      <c r="C3482" s="11" t="s">
        <v>5</v>
      </c>
      <c r="D3482" s="16" t="str">
        <f>HYPERLINK("https://freddywills.com/pick/5902/boston-college-4-5.html", "Boston College +4.5")</f>
        <v>Boston College +4.5</v>
      </c>
      <c r="E3482" s="11">
        <v>1.5</v>
      </c>
      <c r="F3482" s="11">
        <v>-1.1000000000000001</v>
      </c>
      <c r="G3482" s="11" t="s">
        <v>4</v>
      </c>
      <c r="H3482" s="13">
        <v>1363.64</v>
      </c>
      <c r="I3482" s="20">
        <f t="shared" si="126"/>
        <v>-0.11818189999999999</v>
      </c>
      <c r="J3482" s="13">
        <f t="shared" si="127"/>
        <v>-11818.19</v>
      </c>
    </row>
    <row r="3483" spans="1:10" x14ac:dyDescent="0.25">
      <c r="A3483" s="10">
        <v>40089</v>
      </c>
      <c r="B3483" s="11" t="s">
        <v>8</v>
      </c>
      <c r="C3483" s="11" t="s">
        <v>5</v>
      </c>
      <c r="D3483" s="16" t="str">
        <f>HYPERLINK("https://freddywills.com/pick/5903/ball-state-6.html", "Ball State +6")</f>
        <v>Ball State +6</v>
      </c>
      <c r="E3483" s="11">
        <v>3</v>
      </c>
      <c r="F3483" s="11">
        <v>-1.1000000000000001</v>
      </c>
      <c r="G3483" s="11" t="s">
        <v>6</v>
      </c>
      <c r="H3483" s="13">
        <v>-3000</v>
      </c>
      <c r="I3483" s="20">
        <f t="shared" si="126"/>
        <v>-0.1318183</v>
      </c>
      <c r="J3483" s="13">
        <f t="shared" si="127"/>
        <v>-13181.83</v>
      </c>
    </row>
    <row r="3484" spans="1:10" x14ac:dyDescent="0.25">
      <c r="A3484" s="10">
        <v>40089</v>
      </c>
      <c r="B3484" s="11" t="s">
        <v>8</v>
      </c>
      <c r="C3484" s="11" t="s">
        <v>5</v>
      </c>
      <c r="D3484" s="16" t="str">
        <f>HYPERLINK("https://freddywills.com/pick/5904/miss-state-5.html", "Miss State +5")</f>
        <v>Miss State +5</v>
      </c>
      <c r="E3484" s="11">
        <v>4</v>
      </c>
      <c r="F3484" s="11">
        <v>-1.1000000000000001</v>
      </c>
      <c r="G3484" s="11" t="s">
        <v>6</v>
      </c>
      <c r="H3484" s="13">
        <v>-4000</v>
      </c>
      <c r="I3484" s="20">
        <f t="shared" si="126"/>
        <v>-0.10181829999999999</v>
      </c>
      <c r="J3484" s="13">
        <f t="shared" si="127"/>
        <v>-10181.83</v>
      </c>
    </row>
    <row r="3485" spans="1:10" x14ac:dyDescent="0.25">
      <c r="A3485" s="10">
        <v>40088</v>
      </c>
      <c r="B3485" s="11" t="s">
        <v>8</v>
      </c>
      <c r="C3485" s="11" t="s">
        <v>5</v>
      </c>
      <c r="D3485" s="16" t="str">
        <f>HYPERLINK("https://freddywills.com/pick/5905/louisville-7.html", "Louisville +7")</f>
        <v>Louisville +7</v>
      </c>
      <c r="E3485" s="11">
        <v>3</v>
      </c>
      <c r="F3485" s="11">
        <v>-1.1000000000000001</v>
      </c>
      <c r="G3485" s="11" t="s">
        <v>6</v>
      </c>
      <c r="H3485" s="13">
        <v>-3000</v>
      </c>
      <c r="I3485" s="20">
        <f t="shared" si="126"/>
        <v>-6.1818299999999986E-2</v>
      </c>
      <c r="J3485" s="13">
        <f t="shared" si="127"/>
        <v>-6181.83</v>
      </c>
    </row>
    <row r="3486" spans="1:10" x14ac:dyDescent="0.25">
      <c r="A3486" s="10">
        <v>40086</v>
      </c>
      <c r="B3486" s="11" t="s">
        <v>8</v>
      </c>
      <c r="C3486" s="11" t="s">
        <v>5</v>
      </c>
      <c r="D3486" s="16" t="str">
        <f>HYPERLINK("https://freddywills.com/pick/5906/hawaii-4-5.html", "Hawaii +4.5")</f>
        <v>Hawaii +4.5</v>
      </c>
      <c r="E3486" s="11">
        <v>3</v>
      </c>
      <c r="F3486" s="11">
        <v>-1.1000000000000001</v>
      </c>
      <c r="G3486" s="11" t="s">
        <v>6</v>
      </c>
      <c r="H3486" s="13">
        <v>-3000</v>
      </c>
      <c r="I3486" s="20">
        <f t="shared" si="126"/>
        <v>-3.1818299999999987E-2</v>
      </c>
      <c r="J3486" s="13">
        <f t="shared" si="127"/>
        <v>-3181.83</v>
      </c>
    </row>
    <row r="3487" spans="1:10" x14ac:dyDescent="0.25">
      <c r="A3487" s="10">
        <v>40084</v>
      </c>
      <c r="B3487" s="11" t="s">
        <v>2</v>
      </c>
      <c r="C3487" s="11" t="s">
        <v>5</v>
      </c>
      <c r="D3487" s="16" t="str">
        <f>HYPERLINK("https://freddywills.com/pick/5911/panthers-9.html", "Panthers +9")</f>
        <v>Panthers +9</v>
      </c>
      <c r="E3487" s="11">
        <v>3</v>
      </c>
      <c r="F3487" s="11">
        <v>-1.1000000000000001</v>
      </c>
      <c r="G3487" s="11" t="s">
        <v>6</v>
      </c>
      <c r="H3487" s="13">
        <v>-3000</v>
      </c>
      <c r="I3487" s="20">
        <f t="shared" si="126"/>
        <v>-1.818299999999988E-3</v>
      </c>
      <c r="J3487" s="13">
        <f t="shared" si="127"/>
        <v>-181.82999999999993</v>
      </c>
    </row>
    <row r="3488" spans="1:10" x14ac:dyDescent="0.25">
      <c r="A3488" s="10">
        <v>40084</v>
      </c>
      <c r="B3488" s="11" t="s">
        <v>2</v>
      </c>
      <c r="C3488" s="11" t="s">
        <v>10</v>
      </c>
      <c r="D3488" s="16" t="str">
        <f>HYPERLINK("https://freddywills.com/pick/5912/panthers-15-amp-over-42.html", "Panthers +15 &amp;amp; Over 42")</f>
        <v>Panthers +15 &amp;amp; Over 42</v>
      </c>
      <c r="E3488" s="11">
        <v>1</v>
      </c>
      <c r="F3488" s="11">
        <v>-1.1000000000000001</v>
      </c>
      <c r="G3488" s="11" t="s">
        <v>6</v>
      </c>
      <c r="H3488" s="13">
        <v>-1000</v>
      </c>
      <c r="I3488" s="20">
        <f t="shared" si="126"/>
        <v>2.8181700000000011E-2</v>
      </c>
      <c r="J3488" s="13">
        <f t="shared" si="127"/>
        <v>2818.17</v>
      </c>
    </row>
    <row r="3489" spans="1:10" x14ac:dyDescent="0.25">
      <c r="A3489" s="10">
        <v>40083</v>
      </c>
      <c r="B3489" s="11" t="s">
        <v>2</v>
      </c>
      <c r="C3489" s="11" t="s">
        <v>5</v>
      </c>
      <c r="D3489" s="16" t="str">
        <f>HYPERLINK("https://freddywills.com/pick/5913/nyj-1-5.html", "NYJ -1.5")</f>
        <v>NYJ -1.5</v>
      </c>
      <c r="E3489" s="11">
        <v>1.1000000000000001</v>
      </c>
      <c r="F3489" s="11">
        <v>-1.1000000000000001</v>
      </c>
      <c r="G3489" s="11" t="s">
        <v>4</v>
      </c>
      <c r="H3489" s="13">
        <v>1000</v>
      </c>
      <c r="I3489" s="20">
        <f t="shared" si="126"/>
        <v>3.8181700000000013E-2</v>
      </c>
      <c r="J3489" s="13">
        <f t="shared" si="127"/>
        <v>3818.17</v>
      </c>
    </row>
    <row r="3490" spans="1:10" x14ac:dyDescent="0.25">
      <c r="A3490" s="10">
        <v>40083</v>
      </c>
      <c r="B3490" s="11" t="s">
        <v>2</v>
      </c>
      <c r="C3490" s="11" t="s">
        <v>5</v>
      </c>
      <c r="D3490" s="16" t="str">
        <f>HYPERLINK("https://freddywills.com/pick/5914/bills-6.html", "Bills +6")</f>
        <v>Bills +6</v>
      </c>
      <c r="E3490" s="11">
        <v>2.5</v>
      </c>
      <c r="F3490" s="11">
        <v>-1.1000000000000001</v>
      </c>
      <c r="G3490" s="11" t="s">
        <v>6</v>
      </c>
      <c r="H3490" s="13">
        <v>-2500</v>
      </c>
      <c r="I3490" s="20">
        <f t="shared" si="126"/>
        <v>2.8181700000000011E-2</v>
      </c>
      <c r="J3490" s="13">
        <f t="shared" si="127"/>
        <v>2818.17</v>
      </c>
    </row>
    <row r="3491" spans="1:10" x14ac:dyDescent="0.25">
      <c r="A3491" s="10">
        <v>40083</v>
      </c>
      <c r="B3491" s="11" t="s">
        <v>2</v>
      </c>
      <c r="C3491" s="11" t="s">
        <v>5</v>
      </c>
      <c r="D3491" s="16" t="str">
        <f>HYPERLINK("https://freddywills.com/pick/5915/patriots-4-5.html", "Patriots -4.5")</f>
        <v>Patriots -4.5</v>
      </c>
      <c r="E3491" s="11">
        <v>3</v>
      </c>
      <c r="F3491" s="11">
        <v>-1.1000000000000001</v>
      </c>
      <c r="G3491" s="11" t="s">
        <v>4</v>
      </c>
      <c r="H3491" s="13">
        <v>2727.27</v>
      </c>
      <c r="I3491" s="20">
        <f t="shared" si="126"/>
        <v>5.3181700000000012E-2</v>
      </c>
      <c r="J3491" s="13">
        <f t="shared" si="127"/>
        <v>5318.17</v>
      </c>
    </row>
    <row r="3492" spans="1:10" x14ac:dyDescent="0.25">
      <c r="A3492" s="10">
        <v>40083</v>
      </c>
      <c r="B3492" s="11" t="s">
        <v>2</v>
      </c>
      <c r="C3492" s="11" t="s">
        <v>5</v>
      </c>
      <c r="D3492" s="16" t="str">
        <f>HYPERLINK("https://freddywills.com/pick/5916/bengals-3-5.html", "Bengals +3.5")</f>
        <v>Bengals +3.5</v>
      </c>
      <c r="E3492" s="11">
        <v>4</v>
      </c>
      <c r="F3492" s="11">
        <v>-1.1000000000000001</v>
      </c>
      <c r="G3492" s="11" t="s">
        <v>4</v>
      </c>
      <c r="H3492" s="13">
        <v>3636.36</v>
      </c>
      <c r="I3492" s="20">
        <f t="shared" si="126"/>
        <v>2.5909000000000015E-2</v>
      </c>
      <c r="J3492" s="13">
        <f t="shared" si="127"/>
        <v>2590.9000000000005</v>
      </c>
    </row>
    <row r="3493" spans="1:10" x14ac:dyDescent="0.25">
      <c r="A3493" s="10">
        <v>40082</v>
      </c>
      <c r="B3493" s="11" t="s">
        <v>8</v>
      </c>
      <c r="C3493" s="11" t="s">
        <v>5</v>
      </c>
      <c r="D3493" s="16" t="str">
        <f>HYPERLINK("https://freddywills.com/pick/5917/wyoming-3-5.html", "Wyoming +3.5")</f>
        <v>Wyoming +3.5</v>
      </c>
      <c r="E3493" s="11">
        <v>3.5</v>
      </c>
      <c r="F3493" s="11">
        <v>-1.1000000000000001</v>
      </c>
      <c r="G3493" s="11" t="s">
        <v>4</v>
      </c>
      <c r="H3493" s="13">
        <v>3181.82</v>
      </c>
      <c r="I3493" s="20">
        <f t="shared" si="126"/>
        <v>-1.0454599999999988E-2</v>
      </c>
      <c r="J3493" s="13">
        <f t="shared" si="127"/>
        <v>-1045.4599999999996</v>
      </c>
    </row>
    <row r="3494" spans="1:10" x14ac:dyDescent="0.25">
      <c r="A3494" s="10">
        <v>40082</v>
      </c>
      <c r="B3494" s="11" t="s">
        <v>8</v>
      </c>
      <c r="C3494" s="11" t="s">
        <v>5</v>
      </c>
      <c r="D3494" s="16" t="str">
        <f>HYPERLINK("https://freddywills.com/pick/5918/oregon-state-2-5.html", "Oregon State -2.5")</f>
        <v>Oregon State -2.5</v>
      </c>
      <c r="E3494" s="11">
        <v>4.5</v>
      </c>
      <c r="F3494" s="11">
        <v>-1.1000000000000001</v>
      </c>
      <c r="G3494" s="11" t="s">
        <v>6</v>
      </c>
      <c r="H3494" s="13">
        <v>-4500</v>
      </c>
      <c r="I3494" s="20">
        <f t="shared" si="126"/>
        <v>-4.2272799999999992E-2</v>
      </c>
      <c r="J3494" s="13">
        <f t="shared" si="127"/>
        <v>-4227.28</v>
      </c>
    </row>
    <row r="3495" spans="1:10" x14ac:dyDescent="0.25">
      <c r="A3495" s="10">
        <v>40082</v>
      </c>
      <c r="B3495" s="11" t="s">
        <v>8</v>
      </c>
      <c r="C3495" s="11" t="s">
        <v>5</v>
      </c>
      <c r="D3495" s="16" t="str">
        <f>HYPERLINK("https://freddywills.com/pick/5919/florida-int-1.html", "Florida Int -1")</f>
        <v>Florida Int -1</v>
      </c>
      <c r="E3495" s="11">
        <v>4</v>
      </c>
      <c r="F3495" s="11">
        <v>-1.1000000000000001</v>
      </c>
      <c r="G3495" s="11" t="s">
        <v>6</v>
      </c>
      <c r="H3495" s="13">
        <v>-4000</v>
      </c>
      <c r="I3495" s="20">
        <f t="shared" si="126"/>
        <v>2.727200000000006E-3</v>
      </c>
      <c r="J3495" s="13">
        <f t="shared" si="127"/>
        <v>272.72000000000025</v>
      </c>
    </row>
    <row r="3496" spans="1:10" x14ac:dyDescent="0.25">
      <c r="A3496" s="10">
        <v>40082</v>
      </c>
      <c r="B3496" s="11" t="s">
        <v>8</v>
      </c>
      <c r="C3496" s="11" t="s">
        <v>5</v>
      </c>
      <c r="D3496" s="16" t="str">
        <f>HYPERLINK("https://freddywills.com/pick/5920/vtech-3.html", "Vtech +3")</f>
        <v>Vtech +3</v>
      </c>
      <c r="E3496" s="11">
        <v>2.5</v>
      </c>
      <c r="F3496" s="11">
        <v>-1.1000000000000001</v>
      </c>
      <c r="G3496" s="11" t="s">
        <v>4</v>
      </c>
      <c r="H3496" s="13">
        <v>2272.73</v>
      </c>
      <c r="I3496" s="20">
        <f t="shared" si="126"/>
        <v>4.2727200000000007E-2</v>
      </c>
      <c r="J3496" s="13">
        <f t="shared" si="127"/>
        <v>4272.72</v>
      </c>
    </row>
    <row r="3497" spans="1:10" x14ac:dyDescent="0.25">
      <c r="A3497" s="10">
        <v>40082</v>
      </c>
      <c r="B3497" s="11" t="s">
        <v>8</v>
      </c>
      <c r="C3497" s="11" t="s">
        <v>5</v>
      </c>
      <c r="D3497" s="16" t="str">
        <f>HYPERLINK("https://freddywills.com/pick/5921/iowa-10.html", "Iowa +10")</f>
        <v>Iowa +10</v>
      </c>
      <c r="E3497" s="11">
        <v>2</v>
      </c>
      <c r="F3497" s="11">
        <v>-1.1000000000000001</v>
      </c>
      <c r="G3497" s="11" t="s">
        <v>4</v>
      </c>
      <c r="H3497" s="13">
        <v>1818.18</v>
      </c>
      <c r="I3497" s="20">
        <f t="shared" si="126"/>
        <v>1.9999900000000011E-2</v>
      </c>
      <c r="J3497" s="13">
        <f t="shared" si="127"/>
        <v>1999.99</v>
      </c>
    </row>
    <row r="3498" spans="1:10" x14ac:dyDescent="0.25">
      <c r="A3498" s="10">
        <v>40082</v>
      </c>
      <c r="B3498" s="11" t="s">
        <v>8</v>
      </c>
      <c r="C3498" s="11" t="s">
        <v>5</v>
      </c>
      <c r="D3498" s="16" t="str">
        <f>HYPERLINK("https://freddywills.com/pick/5922/purdue-7.html", "Purdue +7")</f>
        <v>Purdue +7</v>
      </c>
      <c r="E3498" s="11">
        <v>2</v>
      </c>
      <c r="F3498" s="11">
        <v>-1.1000000000000001</v>
      </c>
      <c r="G3498" s="11" t="s">
        <v>4</v>
      </c>
      <c r="H3498" s="13">
        <v>1818.18</v>
      </c>
      <c r="I3498" s="20">
        <f t="shared" si="126"/>
        <v>1.81810000000001E-3</v>
      </c>
      <c r="J3498" s="13">
        <f t="shared" si="127"/>
        <v>181.80999999999995</v>
      </c>
    </row>
    <row r="3499" spans="1:10" x14ac:dyDescent="0.25">
      <c r="A3499" s="10">
        <v>40082</v>
      </c>
      <c r="B3499" s="11" t="s">
        <v>8</v>
      </c>
      <c r="C3499" s="11" t="s">
        <v>5</v>
      </c>
      <c r="D3499" s="16" t="str">
        <f>HYPERLINK("https://freddywills.com/pick/5923/tx-tech-1.html", "Tx Tech -1")</f>
        <v>Tx Tech -1</v>
      </c>
      <c r="E3499" s="11">
        <v>1.1000000000000001</v>
      </c>
      <c r="F3499" s="11">
        <v>-1.1000000000000001</v>
      </c>
      <c r="G3499" s="11" t="s">
        <v>6</v>
      </c>
      <c r="H3499" s="13">
        <v>-1100</v>
      </c>
      <c r="I3499" s="20">
        <f t="shared" si="126"/>
        <v>-1.6363699999999991E-2</v>
      </c>
      <c r="J3499" s="13">
        <f t="shared" si="127"/>
        <v>-1636.3700000000001</v>
      </c>
    </row>
    <row r="3500" spans="1:10" x14ac:dyDescent="0.25">
      <c r="A3500" s="10">
        <v>40080</v>
      </c>
      <c r="B3500" s="11" t="s">
        <v>8</v>
      </c>
      <c r="C3500" s="11" t="s">
        <v>5</v>
      </c>
      <c r="D3500" s="16" t="str">
        <f>HYPERLINK("https://freddywills.com/pick/5928/south-carolina-4.html", "South Carolina +4")</f>
        <v>South Carolina +4</v>
      </c>
      <c r="E3500" s="11">
        <v>2</v>
      </c>
      <c r="F3500" s="11">
        <v>-1.1000000000000001</v>
      </c>
      <c r="G3500" s="11" t="s">
        <v>4</v>
      </c>
      <c r="H3500" s="13">
        <v>1818.18</v>
      </c>
      <c r="I3500" s="20">
        <f t="shared" si="126"/>
        <v>-5.3636999999999921E-3</v>
      </c>
      <c r="J3500" s="13">
        <f t="shared" si="127"/>
        <v>-536.37000000000012</v>
      </c>
    </row>
    <row r="3501" spans="1:10" x14ac:dyDescent="0.25">
      <c r="A3501" s="10">
        <v>40077</v>
      </c>
      <c r="B3501" s="11" t="s">
        <v>2</v>
      </c>
      <c r="C3501" s="11" t="s">
        <v>5</v>
      </c>
      <c r="D3501" s="16" t="str">
        <f>HYPERLINK("https://freddywills.com/pick/5936/dolphins-3-5.html", "Dolphins +3.5")</f>
        <v>Dolphins +3.5</v>
      </c>
      <c r="E3501" s="11">
        <v>3.5</v>
      </c>
      <c r="F3501" s="11">
        <v>-1.1000000000000001</v>
      </c>
      <c r="G3501" s="11" t="s">
        <v>6</v>
      </c>
      <c r="H3501" s="13">
        <v>-3500</v>
      </c>
      <c r="I3501" s="20">
        <f t="shared" si="126"/>
        <v>-2.3545499999999994E-2</v>
      </c>
      <c r="J3501" s="13">
        <f t="shared" si="127"/>
        <v>-2354.5500000000002</v>
      </c>
    </row>
    <row r="3502" spans="1:10" x14ac:dyDescent="0.25">
      <c r="A3502" s="10">
        <v>40076</v>
      </c>
      <c r="B3502" s="11" t="s">
        <v>2</v>
      </c>
      <c r="C3502" s="11" t="s">
        <v>7</v>
      </c>
      <c r="D3502" s="16" t="str">
        <f>HYPERLINK("https://freddywills.com/pick/5937/bal-sd-over-40-5.html", "BAL/SD Over 40.5")</f>
        <v>BAL/SD Over 40.5</v>
      </c>
      <c r="E3502" s="11">
        <v>3.3</v>
      </c>
      <c r="F3502" s="11">
        <v>-1.1000000000000001</v>
      </c>
      <c r="G3502" s="11" t="s">
        <v>4</v>
      </c>
      <c r="H3502" s="13">
        <v>3000</v>
      </c>
      <c r="I3502" s="20">
        <f t="shared" si="126"/>
        <v>1.145450000000001E-2</v>
      </c>
      <c r="J3502" s="13">
        <f t="shared" si="127"/>
        <v>1145.4499999999998</v>
      </c>
    </row>
    <row r="3503" spans="1:10" x14ac:dyDescent="0.25">
      <c r="A3503" s="10">
        <v>40076</v>
      </c>
      <c r="B3503" s="11" t="s">
        <v>2</v>
      </c>
      <c r="C3503" s="11" t="s">
        <v>5</v>
      </c>
      <c r="D3503" s="16" t="str">
        <f>HYPERLINK("https://freddywills.com/pick/5938/raiders-3.html", "Raiders +3")</f>
        <v>Raiders +3</v>
      </c>
      <c r="E3503" s="11">
        <v>2.2000000000000002</v>
      </c>
      <c r="F3503" s="11">
        <v>-1.1000000000000001</v>
      </c>
      <c r="G3503" s="11" t="s">
        <v>4</v>
      </c>
      <c r="H3503" s="13">
        <v>2000</v>
      </c>
      <c r="I3503" s="20">
        <f t="shared" si="126"/>
        <v>-1.8545499999999989E-2</v>
      </c>
      <c r="J3503" s="13">
        <f t="shared" si="127"/>
        <v>-1854.5500000000002</v>
      </c>
    </row>
    <row r="3504" spans="1:10" x14ac:dyDescent="0.25">
      <c r="A3504" s="10">
        <v>40076</v>
      </c>
      <c r="B3504" s="11" t="s">
        <v>2</v>
      </c>
      <c r="C3504" s="11" t="s">
        <v>5</v>
      </c>
      <c r="D3504" s="16" t="str">
        <f>HYPERLINK("https://freddywills.com/pick/5939/lions-10-5.html", "Lions +10.5")</f>
        <v>Lions +10.5</v>
      </c>
      <c r="E3504" s="11">
        <v>4.4000000000000004</v>
      </c>
      <c r="F3504" s="11">
        <v>-1.1000000000000001</v>
      </c>
      <c r="G3504" s="11" t="s">
        <v>6</v>
      </c>
      <c r="H3504" s="13">
        <v>-4400</v>
      </c>
      <c r="I3504" s="20">
        <f t="shared" si="126"/>
        <v>-3.8545499999999989E-2</v>
      </c>
      <c r="J3504" s="13">
        <f t="shared" si="127"/>
        <v>-3854.55</v>
      </c>
    </row>
    <row r="3505" spans="1:10" x14ac:dyDescent="0.25">
      <c r="A3505" s="10">
        <v>40076</v>
      </c>
      <c r="B3505" s="11" t="s">
        <v>2</v>
      </c>
      <c r="C3505" s="11" t="s">
        <v>5</v>
      </c>
      <c r="D3505" s="16" t="str">
        <f>HYPERLINK("https://freddywills.com/pick/5940/jaguars-3.html", "Jaguars -3")</f>
        <v>Jaguars -3</v>
      </c>
      <c r="E3505" s="11">
        <v>2.2000000000000002</v>
      </c>
      <c r="F3505" s="11">
        <v>-1.1000000000000001</v>
      </c>
      <c r="G3505" s="11" t="s">
        <v>6</v>
      </c>
      <c r="H3505" s="13">
        <v>-2200</v>
      </c>
      <c r="I3505" s="20">
        <f t="shared" si="126"/>
        <v>5.454500000000008E-3</v>
      </c>
      <c r="J3505" s="13">
        <f t="shared" si="127"/>
        <v>545.44999999999982</v>
      </c>
    </row>
    <row r="3506" spans="1:10" x14ac:dyDescent="0.25">
      <c r="A3506" s="10">
        <v>40075</v>
      </c>
      <c r="B3506" s="11" t="s">
        <v>8</v>
      </c>
      <c r="C3506" s="11" t="s">
        <v>5</v>
      </c>
      <c r="D3506" s="16" t="str">
        <f>HYPERLINK("https://freddywills.com/pick/5941/california-13-5.html", "California -13.5")</f>
        <v>California -13.5</v>
      </c>
      <c r="E3506" s="11">
        <v>3.3</v>
      </c>
      <c r="F3506" s="11">
        <v>-1.1000000000000001</v>
      </c>
      <c r="G3506" s="11" t="s">
        <v>4</v>
      </c>
      <c r="H3506" s="13">
        <v>3000</v>
      </c>
      <c r="I3506" s="20">
        <f t="shared" si="126"/>
        <v>2.7454500000000007E-2</v>
      </c>
      <c r="J3506" s="13">
        <f t="shared" si="127"/>
        <v>2745.45</v>
      </c>
    </row>
    <row r="3507" spans="1:10" x14ac:dyDescent="0.25">
      <c r="A3507" s="10">
        <v>40075</v>
      </c>
      <c r="B3507" s="11" t="s">
        <v>8</v>
      </c>
      <c r="C3507" s="11" t="s">
        <v>5</v>
      </c>
      <c r="D3507" s="16" t="str">
        <f>HYPERLINK("https://freddywills.com/pick/5942/michigan-state-10-5.html", "Michigan State +10.5")</f>
        <v>Michigan State +10.5</v>
      </c>
      <c r="E3507" s="11">
        <v>4.4000000000000004</v>
      </c>
      <c r="F3507" s="11">
        <v>-1.1000000000000001</v>
      </c>
      <c r="G3507" s="11" t="s">
        <v>4</v>
      </c>
      <c r="H3507" s="13">
        <v>4000</v>
      </c>
      <c r="I3507" s="20">
        <f t="shared" si="126"/>
        <v>-2.5454999999999922E-3</v>
      </c>
      <c r="J3507" s="13">
        <f t="shared" si="127"/>
        <v>-254.55000000000018</v>
      </c>
    </row>
    <row r="3508" spans="1:10" x14ac:dyDescent="0.25">
      <c r="A3508" s="10">
        <v>40075</v>
      </c>
      <c r="B3508" s="11" t="s">
        <v>8</v>
      </c>
      <c r="C3508" s="11" t="s">
        <v>5</v>
      </c>
      <c r="D3508" s="16" t="str">
        <f>HYPERLINK("https://freddywills.com/pick/5943/florida-29-5.html", "Florida -29.5")</f>
        <v>Florida -29.5</v>
      </c>
      <c r="E3508" s="11">
        <v>2.2000000000000002</v>
      </c>
      <c r="F3508" s="11">
        <v>-1.1000000000000001</v>
      </c>
      <c r="G3508" s="11" t="s">
        <v>6</v>
      </c>
      <c r="H3508" s="13">
        <v>-2200</v>
      </c>
      <c r="I3508" s="20">
        <f t="shared" si="126"/>
        <v>-4.2545499999999993E-2</v>
      </c>
      <c r="J3508" s="13">
        <f t="shared" si="127"/>
        <v>-4254.55</v>
      </c>
    </row>
    <row r="3509" spans="1:10" x14ac:dyDescent="0.25">
      <c r="A3509" s="10">
        <v>40075</v>
      </c>
      <c r="B3509" s="11" t="s">
        <v>8</v>
      </c>
      <c r="C3509" s="11" t="s">
        <v>5</v>
      </c>
      <c r="D3509" s="16" t="str">
        <f>HYPERLINK("https://freddywills.com/pick/5944/virginia-15-5.html", "Virginia +15.5")</f>
        <v>Virginia +15.5</v>
      </c>
      <c r="E3509" s="11">
        <v>3.3</v>
      </c>
      <c r="F3509" s="11">
        <v>-1.1000000000000001</v>
      </c>
      <c r="G3509" s="11" t="s">
        <v>4</v>
      </c>
      <c r="H3509" s="13">
        <v>3000</v>
      </c>
      <c r="I3509" s="20">
        <f t="shared" si="126"/>
        <v>-2.0545499999999994E-2</v>
      </c>
      <c r="J3509" s="13">
        <f t="shared" si="127"/>
        <v>-2054.5500000000002</v>
      </c>
    </row>
    <row r="3510" spans="1:10" x14ac:dyDescent="0.25">
      <c r="A3510" s="10">
        <v>40075</v>
      </c>
      <c r="B3510" s="11" t="s">
        <v>8</v>
      </c>
      <c r="C3510" s="11" t="s">
        <v>5</v>
      </c>
      <c r="D3510" s="16" t="str">
        <f>HYPERLINK("https://freddywills.com/pick/5945/col-state-3-5.html", "Col State +3.5")</f>
        <v>Col State +3.5</v>
      </c>
      <c r="E3510" s="11">
        <v>1.1000000000000001</v>
      </c>
      <c r="F3510" s="11">
        <v>-1.1000000000000001</v>
      </c>
      <c r="G3510" s="11" t="s">
        <v>4</v>
      </c>
      <c r="H3510" s="13">
        <v>1000</v>
      </c>
      <c r="I3510" s="20">
        <f t="shared" si="126"/>
        <v>-5.0545499999999993E-2</v>
      </c>
      <c r="J3510" s="13">
        <f t="shared" si="127"/>
        <v>-5054.55</v>
      </c>
    </row>
    <row r="3511" spans="1:10" x14ac:dyDescent="0.25">
      <c r="A3511" s="10">
        <v>40073</v>
      </c>
      <c r="B3511" s="11" t="s">
        <v>8</v>
      </c>
      <c r="C3511" s="11" t="s">
        <v>5</v>
      </c>
      <c r="D3511" s="16" t="str">
        <f>HYPERLINK("https://freddywills.com/pick/5950/georgia-tech-6-120.html", "Georgia Tech +6 -120")</f>
        <v>Georgia Tech +6 -120</v>
      </c>
      <c r="E3511" s="11">
        <v>2.5</v>
      </c>
      <c r="F3511" s="11">
        <v>-1.2</v>
      </c>
      <c r="G3511" s="11" t="s">
        <v>6</v>
      </c>
      <c r="H3511" s="13">
        <v>-2500</v>
      </c>
      <c r="I3511" s="20">
        <f t="shared" si="126"/>
        <v>-6.0545499999999995E-2</v>
      </c>
      <c r="J3511" s="13">
        <f t="shared" si="127"/>
        <v>-6054.55</v>
      </c>
    </row>
    <row r="3512" spans="1:10" x14ac:dyDescent="0.25">
      <c r="A3512" s="10">
        <v>40070</v>
      </c>
      <c r="B3512" s="11" t="s">
        <v>2</v>
      </c>
      <c r="C3512" s="11" t="s">
        <v>7</v>
      </c>
      <c r="D3512" s="16" t="str">
        <f>HYPERLINK("https://freddywills.com/pick/5955/ne-buf-o47-5.html", "NE/BUF O47.5")</f>
        <v>NE/BUF O47.5</v>
      </c>
      <c r="E3512" s="11">
        <v>1.1000000000000001</v>
      </c>
      <c r="F3512" s="11">
        <v>-1.1000000000000001</v>
      </c>
      <c r="G3512" s="11" t="s">
        <v>4</v>
      </c>
      <c r="H3512" s="13">
        <v>1000</v>
      </c>
      <c r="I3512" s="20">
        <f t="shared" si="126"/>
        <v>-3.5545499999999994E-2</v>
      </c>
      <c r="J3512" s="13">
        <f t="shared" si="127"/>
        <v>-3554.55</v>
      </c>
    </row>
    <row r="3513" spans="1:10" x14ac:dyDescent="0.25">
      <c r="A3513" s="10">
        <v>40070</v>
      </c>
      <c r="B3513" s="11" t="s">
        <v>2</v>
      </c>
      <c r="C3513" s="11" t="s">
        <v>10</v>
      </c>
      <c r="D3513" s="16" t="str">
        <f>HYPERLINK("https://freddywills.com/pick/5957/ne-4-sd-3.html", "NE -4 + SD -3")</f>
        <v>NE -4 + SD -3</v>
      </c>
      <c r="E3513" s="11">
        <v>4.4000000000000004</v>
      </c>
      <c r="F3513" s="11">
        <v>-1.1000000000000001</v>
      </c>
      <c r="G3513" s="11" t="s">
        <v>6</v>
      </c>
      <c r="H3513" s="13">
        <v>-4400</v>
      </c>
      <c r="I3513" s="20">
        <f t="shared" si="126"/>
        <v>-4.5545499999999996E-2</v>
      </c>
      <c r="J3513" s="13">
        <f t="shared" si="127"/>
        <v>-4554.55</v>
      </c>
    </row>
    <row r="3514" spans="1:10" x14ac:dyDescent="0.25">
      <c r="A3514" s="10">
        <v>40069</v>
      </c>
      <c r="B3514" s="11" t="s">
        <v>2</v>
      </c>
      <c r="C3514" s="11" t="s">
        <v>5</v>
      </c>
      <c r="D3514" s="16" t="str">
        <f>HYPERLINK("https://freddywills.com/pick/5958/packers-4-110.html", "Packers -4 -110")</f>
        <v>Packers -4 -110</v>
      </c>
      <c r="E3514" s="11">
        <v>4.4000000000000004</v>
      </c>
      <c r="F3514" s="11">
        <v>-1.1000000000000001</v>
      </c>
      <c r="G3514" s="11" t="s">
        <v>4</v>
      </c>
      <c r="H3514" s="13">
        <v>4000</v>
      </c>
      <c r="I3514" s="20">
        <f t="shared" si="126"/>
        <v>-1.5454999999999983E-3</v>
      </c>
      <c r="J3514" s="13">
        <f t="shared" si="127"/>
        <v>-154.55000000000018</v>
      </c>
    </row>
    <row r="3515" spans="1:10" x14ac:dyDescent="0.25">
      <c r="A3515" s="10">
        <v>40069</v>
      </c>
      <c r="B3515" s="11" t="s">
        <v>2</v>
      </c>
      <c r="C3515" s="11" t="s">
        <v>5</v>
      </c>
      <c r="D3515" s="16" t="str">
        <f>HYPERLINK("https://freddywills.com/pick/5959/eagles.html", "Eagles")</f>
        <v>Eagles</v>
      </c>
      <c r="E3515" s="11">
        <v>2.2000000000000002</v>
      </c>
      <c r="F3515" s="11">
        <v>-1.1000000000000001</v>
      </c>
      <c r="G3515" s="11" t="s">
        <v>4</v>
      </c>
      <c r="H3515" s="13">
        <v>2000</v>
      </c>
      <c r="I3515" s="20">
        <f t="shared" si="126"/>
        <v>-4.1545499999999999E-2</v>
      </c>
      <c r="J3515" s="13">
        <f t="shared" si="127"/>
        <v>-4154.55</v>
      </c>
    </row>
    <row r="3516" spans="1:10" x14ac:dyDescent="0.25">
      <c r="A3516" s="10">
        <v>40069</v>
      </c>
      <c r="B3516" s="11" t="s">
        <v>2</v>
      </c>
      <c r="C3516" s="11" t="s">
        <v>5</v>
      </c>
      <c r="D3516" s="16" t="str">
        <f>HYPERLINK("https://freddywills.com/pick/5960/bengals-4-5.html", "Bengals -4.5")</f>
        <v>Bengals -4.5</v>
      </c>
      <c r="E3516" s="11">
        <v>3.3</v>
      </c>
      <c r="F3516" s="11">
        <v>-1.1000000000000001</v>
      </c>
      <c r="G3516" s="11" t="s">
        <v>6</v>
      </c>
      <c r="H3516" s="13">
        <v>-3300</v>
      </c>
      <c r="I3516" s="20">
        <f t="shared" si="126"/>
        <v>-6.1545500000000003E-2</v>
      </c>
      <c r="J3516" s="13">
        <f t="shared" si="127"/>
        <v>-6154.55</v>
      </c>
    </row>
    <row r="3517" spans="1:10" x14ac:dyDescent="0.25">
      <c r="A3517" s="10">
        <v>40068</v>
      </c>
      <c r="B3517" s="11" t="s">
        <v>8</v>
      </c>
      <c r="C3517" s="11" t="s">
        <v>5</v>
      </c>
      <c r="D3517" s="16" t="str">
        <f>HYPERLINK("https://freddywills.com/pick/5961/duke-pk-110.html", "Duke pk -110")</f>
        <v>Duke pk -110</v>
      </c>
      <c r="E3517" s="11">
        <v>2.2000000000000002</v>
      </c>
      <c r="F3517" s="11">
        <v>-1.1000000000000001</v>
      </c>
      <c r="G3517" s="11" t="s">
        <v>4</v>
      </c>
      <c r="H3517" s="13">
        <v>2000</v>
      </c>
      <c r="I3517" s="20">
        <f t="shared" si="126"/>
        <v>-2.8545500000000005E-2</v>
      </c>
      <c r="J3517" s="13">
        <f t="shared" si="127"/>
        <v>-2854.55</v>
      </c>
    </row>
    <row r="3518" spans="1:10" x14ac:dyDescent="0.25">
      <c r="A3518" s="10">
        <v>40068</v>
      </c>
      <c r="B3518" s="11" t="s">
        <v>8</v>
      </c>
      <c r="C3518" s="11" t="s">
        <v>5</v>
      </c>
      <c r="D3518" s="16" t="str">
        <f>HYPERLINK("https://freddywills.com/pick/5962/mizzou-20.html", "Mizzou -20")</f>
        <v>Mizzou -20</v>
      </c>
      <c r="E3518" s="11">
        <v>3.3</v>
      </c>
      <c r="F3518" s="11">
        <v>-1.1000000000000001</v>
      </c>
      <c r="G3518" s="11" t="s">
        <v>6</v>
      </c>
      <c r="H3518" s="13">
        <v>-3300</v>
      </c>
      <c r="I3518" s="20">
        <f t="shared" si="126"/>
        <v>-4.8545500000000005E-2</v>
      </c>
      <c r="J3518" s="13">
        <f t="shared" si="127"/>
        <v>-4854.55</v>
      </c>
    </row>
    <row r="3519" spans="1:10" x14ac:dyDescent="0.25">
      <c r="A3519" s="10">
        <v>40068</v>
      </c>
      <c r="B3519" s="11" t="s">
        <v>8</v>
      </c>
      <c r="C3519" s="11" t="s">
        <v>5</v>
      </c>
      <c r="D3519" s="16" t="str">
        <f>HYPERLINK("https://freddywills.com/pick/5963/air-force-3.html", "Air Force +3")</f>
        <v>Air Force +3</v>
      </c>
      <c r="E3519" s="11">
        <v>1.1000000000000001</v>
      </c>
      <c r="F3519" s="11">
        <v>-1.1000000000000001</v>
      </c>
      <c r="G3519" s="11" t="s">
        <v>6</v>
      </c>
      <c r="H3519" s="13">
        <v>-1100</v>
      </c>
      <c r="I3519" s="20">
        <f t="shared" si="126"/>
        <v>-1.5545500000000007E-2</v>
      </c>
      <c r="J3519" s="13">
        <f t="shared" si="127"/>
        <v>-1554.5500000000002</v>
      </c>
    </row>
    <row r="3520" spans="1:10" x14ac:dyDescent="0.25">
      <c r="A3520" s="10">
        <v>40068</v>
      </c>
      <c r="B3520" s="11" t="s">
        <v>8</v>
      </c>
      <c r="C3520" s="11" t="s">
        <v>5</v>
      </c>
      <c r="D3520" s="16" t="str">
        <f>HYPERLINK("https://freddywills.com/pick/5964/tennessee-10.html", "Tennessee -10")</f>
        <v>Tennessee -10</v>
      </c>
      <c r="E3520" s="11">
        <v>3.3</v>
      </c>
      <c r="F3520" s="11">
        <v>-1.1000000000000001</v>
      </c>
      <c r="G3520" s="11" t="s">
        <v>6</v>
      </c>
      <c r="H3520" s="13">
        <v>-3300</v>
      </c>
      <c r="I3520" s="20">
        <f t="shared" si="126"/>
        <v>-4.5455000000000079E-3</v>
      </c>
      <c r="J3520" s="13">
        <f t="shared" si="127"/>
        <v>-454.55000000000018</v>
      </c>
    </row>
    <row r="3521" spans="1:10" x14ac:dyDescent="0.25">
      <c r="A3521" s="10">
        <v>40068</v>
      </c>
      <c r="B3521" s="11" t="s">
        <v>8</v>
      </c>
      <c r="C3521" s="11" t="s">
        <v>5</v>
      </c>
      <c r="D3521" s="16" t="str">
        <f>HYPERLINK("https://freddywills.com/pick/5965/south-carolina-7.html", "South Carolina +7")</f>
        <v>South Carolina +7</v>
      </c>
      <c r="E3521" s="11">
        <v>4.4000000000000004</v>
      </c>
      <c r="F3521" s="11">
        <v>-1.1000000000000001</v>
      </c>
      <c r="G3521" s="11" t="s">
        <v>4</v>
      </c>
      <c r="H3521" s="13">
        <v>4000</v>
      </c>
      <c r="I3521" s="20">
        <f t="shared" si="126"/>
        <v>2.8454499999999994E-2</v>
      </c>
      <c r="J3521" s="13">
        <f t="shared" si="127"/>
        <v>2845.45</v>
      </c>
    </row>
    <row r="3522" spans="1:10" x14ac:dyDescent="0.25">
      <c r="A3522" s="10">
        <v>40066</v>
      </c>
      <c r="B3522" s="11" t="s">
        <v>8</v>
      </c>
      <c r="C3522" s="11" t="s">
        <v>5</v>
      </c>
      <c r="D3522" s="16" t="str">
        <f>HYPERLINK("https://freddywills.com/pick/5970/clemson-5-5.html", "Clemson +5.5")</f>
        <v>Clemson +5.5</v>
      </c>
      <c r="E3522" s="11">
        <v>3.3</v>
      </c>
      <c r="F3522" s="11">
        <v>-1.1000000000000001</v>
      </c>
      <c r="G3522" s="11" t="s">
        <v>4</v>
      </c>
      <c r="H3522" s="13">
        <v>3000</v>
      </c>
      <c r="I3522" s="20">
        <f t="shared" si="126"/>
        <v>-1.1545500000000007E-2</v>
      </c>
      <c r="J3522" s="13">
        <f t="shared" si="127"/>
        <v>-1154.5500000000002</v>
      </c>
    </row>
    <row r="3523" spans="1:10" x14ac:dyDescent="0.25">
      <c r="A3523" s="10">
        <v>40066</v>
      </c>
      <c r="B3523" s="11" t="s">
        <v>2</v>
      </c>
      <c r="C3523" s="11" t="s">
        <v>5</v>
      </c>
      <c r="D3523" s="16" t="str">
        <f>HYPERLINK("https://freddywills.com/pick/5971/steelers-6.html", "Steelers -6")</f>
        <v>Steelers -6</v>
      </c>
      <c r="E3523" s="11">
        <v>3.3</v>
      </c>
      <c r="F3523" s="11">
        <v>-1.1000000000000001</v>
      </c>
      <c r="G3523" s="11" t="s">
        <v>6</v>
      </c>
      <c r="H3523" s="13">
        <v>-3300</v>
      </c>
      <c r="I3523" s="20">
        <f t="shared" si="126"/>
        <v>-4.1545500000000006E-2</v>
      </c>
      <c r="J3523" s="13">
        <f t="shared" si="127"/>
        <v>-4154.55</v>
      </c>
    </row>
    <row r="3524" spans="1:10" x14ac:dyDescent="0.25">
      <c r="A3524" s="10">
        <v>40061</v>
      </c>
      <c r="B3524" s="11" t="s">
        <v>8</v>
      </c>
      <c r="C3524" s="11" t="s">
        <v>5</v>
      </c>
      <c r="D3524" s="16" t="str">
        <f>HYPERLINK("https://freddywills.com/pick/5979/kentucky-15.html", "Kentucky -15")</f>
        <v>Kentucky -15</v>
      </c>
      <c r="E3524" s="11">
        <v>1</v>
      </c>
      <c r="F3524" s="11">
        <v>-1.1000000000000001</v>
      </c>
      <c r="G3524" s="11" t="s">
        <v>4</v>
      </c>
      <c r="H3524" s="13">
        <v>909.09</v>
      </c>
      <c r="I3524" s="20">
        <f t="shared" si="126"/>
        <v>-8.5455000000000027E-3</v>
      </c>
      <c r="J3524" s="13">
        <f t="shared" si="127"/>
        <v>-854.54999999999984</v>
      </c>
    </row>
    <row r="3525" spans="1:10" x14ac:dyDescent="0.25">
      <c r="A3525" s="10">
        <v>40061</v>
      </c>
      <c r="B3525" s="11" t="s">
        <v>8</v>
      </c>
      <c r="C3525" s="11" t="s">
        <v>5</v>
      </c>
      <c r="D3525" s="16" t="str">
        <f>HYPERLINK("https://freddywills.com/pick/5980/alabama-6-5.html", "Alabama -6.5")</f>
        <v>Alabama -6.5</v>
      </c>
      <c r="E3525" s="11">
        <v>4</v>
      </c>
      <c r="F3525" s="11">
        <v>-1.1000000000000001</v>
      </c>
      <c r="G3525" s="11" t="s">
        <v>4</v>
      </c>
      <c r="H3525" s="13">
        <v>3636.36</v>
      </c>
      <c r="I3525" s="20">
        <f t="shared" si="126"/>
        <v>-1.7636400000000003E-2</v>
      </c>
      <c r="J3525" s="13">
        <f t="shared" si="127"/>
        <v>-1763.6399999999999</v>
      </c>
    </row>
    <row r="3526" spans="1:10" x14ac:dyDescent="0.25">
      <c r="A3526" s="10">
        <v>40061</v>
      </c>
      <c r="B3526" s="11" t="s">
        <v>8</v>
      </c>
      <c r="C3526" s="11" t="s">
        <v>5</v>
      </c>
      <c r="D3526" s="16" t="str">
        <f>HYPERLINK("https://freddywills.com/pick/5981/oklahoma-22.html", "Oklahoma -22")</f>
        <v>Oklahoma -22</v>
      </c>
      <c r="E3526" s="11">
        <v>2.5</v>
      </c>
      <c r="F3526" s="11">
        <v>-1.1000000000000001</v>
      </c>
      <c r="G3526" s="11" t="s">
        <v>6</v>
      </c>
      <c r="H3526" s="13">
        <v>-2500</v>
      </c>
      <c r="I3526" s="20">
        <f t="shared" si="126"/>
        <v>-5.4000000000000006E-2</v>
      </c>
      <c r="J3526" s="13">
        <f t="shared" si="127"/>
        <v>-5400</v>
      </c>
    </row>
    <row r="3527" spans="1:10" x14ac:dyDescent="0.25">
      <c r="A3527" s="10">
        <v>40059</v>
      </c>
      <c r="B3527" s="11" t="s">
        <v>8</v>
      </c>
      <c r="C3527" s="11" t="s">
        <v>5</v>
      </c>
      <c r="D3527" s="16" t="str">
        <f>HYPERLINK("https://freddywills.com/pick/5985/troy-7.html", "Troy -7")</f>
        <v>Troy -7</v>
      </c>
      <c r="E3527" s="11">
        <v>3</v>
      </c>
      <c r="F3527" s="11">
        <v>-1.1000000000000001</v>
      </c>
      <c r="G3527" s="11" t="s">
        <v>6</v>
      </c>
      <c r="H3527" s="13">
        <v>-3000</v>
      </c>
      <c r="I3527" s="20">
        <f t="shared" si="126"/>
        <v>-2.9000000000000001E-2</v>
      </c>
      <c r="J3527" s="13">
        <f t="shared" ref="J3527:J3537" si="128">J3528+H3527</f>
        <v>-2900</v>
      </c>
    </row>
    <row r="3528" spans="1:10" x14ac:dyDescent="0.25">
      <c r="A3528" s="10">
        <v>40059</v>
      </c>
      <c r="B3528" s="11" t="s">
        <v>2</v>
      </c>
      <c r="C3528" s="11" t="s">
        <v>5</v>
      </c>
      <c r="D3528" s="16" t="str">
        <f>HYPERLINK("https://freddywills.com/pick/5987/browns-3.html", "Browns +3")</f>
        <v>Browns +3</v>
      </c>
      <c r="E3528" s="11">
        <v>2</v>
      </c>
      <c r="F3528" s="11">
        <v>-1.1000000000000001</v>
      </c>
      <c r="G3528" s="11" t="s">
        <v>9</v>
      </c>
      <c r="H3528" s="13">
        <v>0</v>
      </c>
      <c r="I3528" s="20">
        <f t="shared" si="126"/>
        <v>9.9999999999999742E-4</v>
      </c>
      <c r="J3528" s="13">
        <f t="shared" si="128"/>
        <v>100</v>
      </c>
    </row>
    <row r="3529" spans="1:10" x14ac:dyDescent="0.25">
      <c r="A3529" s="10">
        <v>40059</v>
      </c>
      <c r="B3529" s="11" t="s">
        <v>8</v>
      </c>
      <c r="C3529" s="11" t="s">
        <v>5</v>
      </c>
      <c r="D3529" s="16" t="str">
        <f>HYPERLINK("https://freddywills.com/pick/5988/oregon-3-5.html", "Oregon +3.5")</f>
        <v>Oregon +3.5</v>
      </c>
      <c r="E3529" s="11">
        <v>2</v>
      </c>
      <c r="F3529" s="11">
        <v>-1.1000000000000001</v>
      </c>
      <c r="G3529" s="11" t="s">
        <v>6</v>
      </c>
      <c r="H3529" s="13">
        <v>-2000</v>
      </c>
      <c r="I3529" s="20">
        <f t="shared" si="126"/>
        <v>9.9999999999999742E-4</v>
      </c>
      <c r="J3529" s="13">
        <f t="shared" si="128"/>
        <v>100</v>
      </c>
    </row>
    <row r="3530" spans="1:10" x14ac:dyDescent="0.25">
      <c r="A3530" s="10">
        <v>40054</v>
      </c>
      <c r="B3530" s="11" t="s">
        <v>2</v>
      </c>
      <c r="C3530" s="11" t="s">
        <v>5</v>
      </c>
      <c r="D3530" s="16" t="str">
        <f>HYPERLINK("https://freddywills.com/pick/5998/titans-1.html", "Titans -1")</f>
        <v>Titans -1</v>
      </c>
      <c r="E3530" s="11">
        <v>3.3</v>
      </c>
      <c r="F3530" s="11">
        <v>-1.1000000000000001</v>
      </c>
      <c r="G3530" s="11" t="s">
        <v>6</v>
      </c>
      <c r="H3530" s="13">
        <v>-3300</v>
      </c>
      <c r="I3530" s="20">
        <f t="shared" si="126"/>
        <v>2.0999999999999998E-2</v>
      </c>
      <c r="J3530" s="13">
        <f t="shared" si="128"/>
        <v>2100</v>
      </c>
    </row>
    <row r="3531" spans="1:10" x14ac:dyDescent="0.25">
      <c r="A3531" s="10">
        <v>40053</v>
      </c>
      <c r="B3531" s="11" t="s">
        <v>2</v>
      </c>
      <c r="C3531" s="11" t="s">
        <v>7</v>
      </c>
      <c r="D3531" s="16" t="str">
        <f>HYPERLINK("https://freddywills.com/pick/6001/gb-ari-u42.html", "GB/ARI U42")</f>
        <v>GB/ARI U42</v>
      </c>
      <c r="E3531" s="11">
        <v>2.2000000000000002</v>
      </c>
      <c r="F3531" s="11">
        <v>-1.1000000000000001</v>
      </c>
      <c r="G3531" s="11" t="s">
        <v>6</v>
      </c>
      <c r="H3531" s="13">
        <v>-2200</v>
      </c>
      <c r="I3531" s="20">
        <f t="shared" si="126"/>
        <v>5.3999999999999999E-2</v>
      </c>
      <c r="J3531" s="13">
        <f t="shared" si="128"/>
        <v>5400</v>
      </c>
    </row>
    <row r="3532" spans="1:10" x14ac:dyDescent="0.25">
      <c r="A3532" s="10">
        <v>40052</v>
      </c>
      <c r="B3532" s="11" t="s">
        <v>2</v>
      </c>
      <c r="C3532" s="11" t="s">
        <v>5</v>
      </c>
      <c r="D3532" s="16" t="str">
        <f>HYPERLINK("https://freddywills.com/pick/6003/jaguars-7-5.html", "Jaguars +7.5")</f>
        <v>Jaguars +7.5</v>
      </c>
      <c r="E3532" s="11">
        <v>3.3</v>
      </c>
      <c r="F3532" s="11">
        <v>-1.1000000000000001</v>
      </c>
      <c r="G3532" s="11" t="s">
        <v>4</v>
      </c>
      <c r="H3532" s="13">
        <v>3000</v>
      </c>
      <c r="I3532" s="20">
        <f t="shared" si="126"/>
        <v>7.5999999999999998E-2</v>
      </c>
      <c r="J3532" s="13">
        <f t="shared" si="128"/>
        <v>7600</v>
      </c>
    </row>
    <row r="3533" spans="1:10" x14ac:dyDescent="0.25">
      <c r="A3533" s="10">
        <v>40047</v>
      </c>
      <c r="B3533" s="11" t="s">
        <v>2</v>
      </c>
      <c r="C3533" s="11" t="s">
        <v>5</v>
      </c>
      <c r="D3533" s="16" t="str">
        <f>HYPERLINK("https://freddywills.com/pick/6015/giants-3.html", "Giants -3")</f>
        <v>Giants -3</v>
      </c>
      <c r="E3533" s="11">
        <v>3.3</v>
      </c>
      <c r="F3533" s="11">
        <v>-1.1000000000000001</v>
      </c>
      <c r="G3533" s="11" t="s">
        <v>6</v>
      </c>
      <c r="H3533" s="13">
        <v>-3300</v>
      </c>
      <c r="I3533" s="20">
        <f t="shared" si="126"/>
        <v>4.5999999999999999E-2</v>
      </c>
      <c r="J3533" s="13">
        <f t="shared" si="128"/>
        <v>4600</v>
      </c>
    </row>
    <row r="3534" spans="1:10" x14ac:dyDescent="0.25">
      <c r="A3534" s="10">
        <v>40046</v>
      </c>
      <c r="B3534" s="11" t="s">
        <v>2</v>
      </c>
      <c r="C3534" s="11" t="s">
        <v>5</v>
      </c>
      <c r="D3534" s="16" t="str">
        <f>HYPERLINK("https://freddywills.com/pick/6018/cowboys-3.html", "Cowboys -3")</f>
        <v>Cowboys -3</v>
      </c>
      <c r="E3534" s="11">
        <v>2.2000000000000002</v>
      </c>
      <c r="F3534" s="11">
        <v>-1.1000000000000001</v>
      </c>
      <c r="G3534" s="11" t="s">
        <v>4</v>
      </c>
      <c r="H3534" s="13">
        <v>2000</v>
      </c>
      <c r="I3534" s="20">
        <f t="shared" si="126"/>
        <v>7.9000000000000001E-2</v>
      </c>
      <c r="J3534" s="13">
        <f t="shared" si="128"/>
        <v>7900</v>
      </c>
    </row>
    <row r="3535" spans="1:10" x14ac:dyDescent="0.25">
      <c r="A3535" s="10">
        <v>40042</v>
      </c>
      <c r="B3535" s="11" t="s">
        <v>2</v>
      </c>
      <c r="C3535" s="11" t="s">
        <v>5</v>
      </c>
      <c r="D3535" s="16" t="str">
        <f>HYPERLINK("https://freddywills.com/pick/6028/jaguars-3-110.html", "Jaguars +3 -110")</f>
        <v>Jaguars +3 -110</v>
      </c>
      <c r="E3535" s="11">
        <v>2.75</v>
      </c>
      <c r="F3535" s="11">
        <v>-1.1000000000000001</v>
      </c>
      <c r="G3535" s="11" t="s">
        <v>9</v>
      </c>
      <c r="H3535" s="13">
        <v>0</v>
      </c>
      <c r="I3535" s="20">
        <f t="shared" si="126"/>
        <v>5.8999999999999997E-2</v>
      </c>
      <c r="J3535" s="13">
        <f t="shared" si="128"/>
        <v>5900</v>
      </c>
    </row>
    <row r="3536" spans="1:10" x14ac:dyDescent="0.25">
      <c r="A3536" s="10">
        <v>40040</v>
      </c>
      <c r="B3536" s="11" t="s">
        <v>2</v>
      </c>
      <c r="C3536" s="11" t="s">
        <v>5</v>
      </c>
      <c r="D3536" s="16" t="str">
        <f>HYPERLINK("https://freddywills.com/pick/6030/seahawks-3-5-110.html", "Seahawks +3.5 -110")</f>
        <v>Seahawks +3.5 -110</v>
      </c>
      <c r="E3536" s="11">
        <v>2.2000000000000002</v>
      </c>
      <c r="F3536" s="11">
        <v>-1.1000000000000001</v>
      </c>
      <c r="G3536" s="11" t="s">
        <v>4</v>
      </c>
      <c r="H3536" s="13">
        <v>2000</v>
      </c>
      <c r="I3536" s="20">
        <f>(H3536/100000)+I3537</f>
        <v>5.8999999999999997E-2</v>
      </c>
      <c r="J3536" s="13">
        <f t="shared" si="128"/>
        <v>5900</v>
      </c>
    </row>
    <row r="3537" spans="1:10" x14ac:dyDescent="0.25">
      <c r="A3537" s="10">
        <v>40039</v>
      </c>
      <c r="B3537" s="11" t="s">
        <v>2</v>
      </c>
      <c r="C3537" s="11" t="s">
        <v>5</v>
      </c>
      <c r="D3537" s="16" t="str">
        <f>HYPERLINK("https://freddywills.com/pick/6035/vikings-2-110.html", "Vikings -2 @ -110")</f>
        <v>Vikings -2 @ -110</v>
      </c>
      <c r="E3537" s="11">
        <v>3.3</v>
      </c>
      <c r="F3537" s="11">
        <v>-1.1000000000000001</v>
      </c>
      <c r="G3537" s="11" t="s">
        <v>4</v>
      </c>
      <c r="H3537" s="13">
        <v>3000</v>
      </c>
      <c r="I3537" s="20">
        <f>(H3537/100000)+I3538</f>
        <v>3.9E-2</v>
      </c>
      <c r="J3537" s="13">
        <f t="shared" si="128"/>
        <v>3900</v>
      </c>
    </row>
    <row r="3538" spans="1:10" x14ac:dyDescent="0.25">
      <c r="A3538" s="10">
        <v>40038</v>
      </c>
      <c r="B3538" s="11" t="s">
        <v>2</v>
      </c>
      <c r="C3538" s="11" t="s">
        <v>7</v>
      </c>
      <c r="D3538" s="16" t="str">
        <f>HYPERLINK("https://freddywills.com/pick/6038/patriots-eagles-u33.html", "Patriots/Eagles U33")</f>
        <v>Patriots/Eagles U33</v>
      </c>
      <c r="E3538" s="11">
        <v>1.1000000000000001</v>
      </c>
      <c r="F3538" s="11">
        <v>-1.1000000000000001</v>
      </c>
      <c r="G3538" s="11" t="s">
        <v>6</v>
      </c>
      <c r="H3538" s="13">
        <v>-1100</v>
      </c>
      <c r="I3538" s="20">
        <f>(H3538/I3540)+I3539</f>
        <v>9.0000000000000011E-3</v>
      </c>
      <c r="J3538" s="13">
        <f>J3539+H3538</f>
        <v>900</v>
      </c>
    </row>
    <row r="3539" spans="1:10" x14ac:dyDescent="0.25">
      <c r="A3539" s="10">
        <v>40038</v>
      </c>
      <c r="B3539" s="11" t="s">
        <v>2</v>
      </c>
      <c r="C3539" s="11" t="s">
        <v>5</v>
      </c>
      <c r="D3539" s="21" t="str">
        <f>HYPERLINK("https://freddywills.com/pick/6039/raiders-1-110.html", "Raiders -1 @ -110")</f>
        <v>Raiders -1 @ -110</v>
      </c>
      <c r="E3539" s="11">
        <v>2.2000000000000002</v>
      </c>
      <c r="F3539" s="11">
        <v>-1.1000000000000001</v>
      </c>
      <c r="G3539" s="11" t="s">
        <v>4</v>
      </c>
      <c r="H3539" s="13">
        <v>2000</v>
      </c>
      <c r="I3539" s="14">
        <f>H3539/I3540</f>
        <v>0.02</v>
      </c>
      <c r="J3539" s="13">
        <f>H3539</f>
        <v>2000</v>
      </c>
    </row>
    <row r="3540" spans="1:10" x14ac:dyDescent="0.25">
      <c r="A3540" s="17" t="s">
        <v>22</v>
      </c>
      <c r="B3540" s="18"/>
      <c r="C3540" s="18"/>
      <c r="D3540" s="18"/>
      <c r="E3540" s="18"/>
      <c r="F3540" s="18"/>
      <c r="G3540" s="18"/>
      <c r="H3540" s="18"/>
      <c r="I3540" s="19">
        <v>100000</v>
      </c>
      <c r="J3540" s="17"/>
    </row>
    <row r="3541" spans="1:10" ht="21" x14ac:dyDescent="0.25">
      <c r="A3541" s="3"/>
      <c r="B3541" s="4"/>
      <c r="C3541" s="4"/>
      <c r="D3541" s="4"/>
      <c r="E3541" s="4"/>
      <c r="F3541" s="4"/>
      <c r="G3541" s="4"/>
      <c r="H3541" s="4"/>
      <c r="I3541" s="4"/>
      <c r="J3541" s="4"/>
    </row>
    <row r="3542" spans="1:10" x14ac:dyDescent="0.25">
      <c r="A3542" s="1"/>
      <c r="H3542" s="2"/>
    </row>
    <row r="3543" spans="1:10" x14ac:dyDescent="0.25">
      <c r="A3543" s="1"/>
      <c r="H3543" s="2"/>
    </row>
    <row r="3544" spans="1:10" x14ac:dyDescent="0.25">
      <c r="A3544" s="1"/>
      <c r="H3544" s="2"/>
    </row>
    <row r="3545" spans="1:10" x14ac:dyDescent="0.25">
      <c r="A3545" s="1"/>
      <c r="H3545" s="2"/>
    </row>
    <row r="3546" spans="1:10" x14ac:dyDescent="0.25">
      <c r="A3546" s="1"/>
      <c r="H3546" s="2"/>
    </row>
    <row r="3547" spans="1:10" x14ac:dyDescent="0.25">
      <c r="A3547" s="1"/>
      <c r="H3547" s="2"/>
    </row>
    <row r="3548" spans="1:10" x14ac:dyDescent="0.25">
      <c r="A3548" s="1"/>
      <c r="H3548" s="2"/>
    </row>
    <row r="3549" spans="1:10" x14ac:dyDescent="0.25">
      <c r="A3549" s="1"/>
      <c r="H3549" s="2"/>
    </row>
    <row r="3550" spans="1:10" x14ac:dyDescent="0.25">
      <c r="A3550" s="1"/>
      <c r="H3550" s="2"/>
    </row>
    <row r="3551" spans="1:10" x14ac:dyDescent="0.25">
      <c r="A3551" s="1"/>
      <c r="H3551" s="2"/>
    </row>
    <row r="3552" spans="1:10" x14ac:dyDescent="0.25">
      <c r="A3552" s="1"/>
      <c r="H3552" s="2"/>
    </row>
    <row r="3553" spans="1:8" x14ac:dyDescent="0.25">
      <c r="A3553" s="1"/>
      <c r="H3553" s="2"/>
    </row>
    <row r="3554" spans="1:8" x14ac:dyDescent="0.25">
      <c r="A3554" s="1"/>
      <c r="H3554" s="2"/>
    </row>
    <row r="3555" spans="1:8" x14ac:dyDescent="0.25">
      <c r="A3555" s="1"/>
      <c r="H3555" s="2"/>
    </row>
    <row r="3556" spans="1:8" x14ac:dyDescent="0.25">
      <c r="A3556" s="1"/>
      <c r="H3556" s="2"/>
    </row>
    <row r="3557" spans="1:8" x14ac:dyDescent="0.25">
      <c r="A3557" s="1"/>
      <c r="H3557" s="2"/>
    </row>
    <row r="3558" spans="1:8" x14ac:dyDescent="0.25">
      <c r="A3558" s="1"/>
      <c r="H3558" s="2"/>
    </row>
    <row r="3559" spans="1:8" x14ac:dyDescent="0.25">
      <c r="A3559" s="1"/>
      <c r="H3559" s="2"/>
    </row>
    <row r="3560" spans="1:8" x14ac:dyDescent="0.25">
      <c r="A3560" s="1"/>
      <c r="H3560" s="2"/>
    </row>
    <row r="3561" spans="1:8" x14ac:dyDescent="0.25">
      <c r="A3561" s="1"/>
      <c r="H3561" s="2"/>
    </row>
    <row r="3562" spans="1:8" x14ac:dyDescent="0.25">
      <c r="A3562" s="1"/>
      <c r="H3562" s="2"/>
    </row>
    <row r="3563" spans="1:8" x14ac:dyDescent="0.25">
      <c r="A3563" s="1"/>
      <c r="H3563" s="2"/>
    </row>
    <row r="3564" spans="1:8" x14ac:dyDescent="0.25">
      <c r="A3564" s="1"/>
      <c r="H3564" s="2"/>
    </row>
    <row r="3565" spans="1:8" x14ac:dyDescent="0.25">
      <c r="A3565" s="1"/>
      <c r="H3565" s="2"/>
    </row>
    <row r="3566" spans="1:8" x14ac:dyDescent="0.25">
      <c r="A3566" s="1"/>
      <c r="H3566" s="2"/>
    </row>
    <row r="3567" spans="1:8" x14ac:dyDescent="0.25">
      <c r="A3567" s="1"/>
      <c r="H3567" s="2"/>
    </row>
    <row r="3568" spans="1:8" x14ac:dyDescent="0.25">
      <c r="A3568" s="1"/>
      <c r="H3568" s="2"/>
    </row>
    <row r="3569" spans="1:8" x14ac:dyDescent="0.25">
      <c r="A3569" s="1"/>
      <c r="H3569" s="2"/>
    </row>
    <row r="3570" spans="1:8" x14ac:dyDescent="0.25">
      <c r="A3570" s="1"/>
      <c r="H3570" s="2"/>
    </row>
    <row r="3571" spans="1:8" x14ac:dyDescent="0.25">
      <c r="A3571" s="1"/>
      <c r="H3571" s="2"/>
    </row>
    <row r="3572" spans="1:8" x14ac:dyDescent="0.25">
      <c r="A3572" s="1"/>
      <c r="H3572" s="2"/>
    </row>
    <row r="3573" spans="1:8" x14ac:dyDescent="0.25">
      <c r="A3573" s="1"/>
      <c r="H3573" s="2"/>
    </row>
    <row r="3574" spans="1:8" x14ac:dyDescent="0.25">
      <c r="A3574" s="1"/>
      <c r="H3574" s="2"/>
    </row>
    <row r="3575" spans="1:8" x14ac:dyDescent="0.25">
      <c r="A3575" s="1"/>
      <c r="H3575" s="2"/>
    </row>
    <row r="3576" spans="1:8" x14ac:dyDescent="0.25">
      <c r="A3576" s="1"/>
      <c r="H3576" s="2"/>
    </row>
    <row r="3577" spans="1:8" x14ac:dyDescent="0.25">
      <c r="A3577" s="1"/>
      <c r="H3577" s="2"/>
    </row>
    <row r="3578" spans="1:8" x14ac:dyDescent="0.25">
      <c r="A3578" s="1"/>
      <c r="H3578" s="2"/>
    </row>
    <row r="3579" spans="1:8" x14ac:dyDescent="0.25">
      <c r="A3579" s="1"/>
      <c r="H3579" s="2"/>
    </row>
    <row r="3580" spans="1:8" x14ac:dyDescent="0.25">
      <c r="A3580" s="1"/>
      <c r="H3580" s="2"/>
    </row>
    <row r="3581" spans="1:8" x14ac:dyDescent="0.25">
      <c r="A3581" s="1"/>
      <c r="H3581" s="2"/>
    </row>
    <row r="3582" spans="1:8" x14ac:dyDescent="0.25">
      <c r="A3582" s="1"/>
      <c r="H3582" s="2"/>
    </row>
    <row r="3583" spans="1:8" x14ac:dyDescent="0.25">
      <c r="A3583" s="1"/>
      <c r="H3583" s="2"/>
    </row>
    <row r="3584" spans="1:8" x14ac:dyDescent="0.25">
      <c r="A3584" s="1"/>
      <c r="H3584" s="2"/>
    </row>
    <row r="3585" spans="1:8" x14ac:dyDescent="0.25">
      <c r="A3585" s="1"/>
      <c r="H3585" s="2"/>
    </row>
    <row r="3586" spans="1:8" x14ac:dyDescent="0.25">
      <c r="A3586" s="1"/>
      <c r="H3586" s="2"/>
    </row>
    <row r="3587" spans="1:8" x14ac:dyDescent="0.25">
      <c r="A3587" s="1"/>
      <c r="H3587" s="2"/>
    </row>
    <row r="3588" spans="1:8" x14ac:dyDescent="0.25">
      <c r="A3588" s="1"/>
      <c r="H3588" s="2"/>
    </row>
    <row r="3589" spans="1:8" x14ac:dyDescent="0.25">
      <c r="A3589" s="1"/>
      <c r="H3589" s="2"/>
    </row>
    <row r="3590" spans="1:8" x14ac:dyDescent="0.25">
      <c r="A3590" s="1"/>
      <c r="H3590" s="2"/>
    </row>
    <row r="3591" spans="1:8" x14ac:dyDescent="0.25">
      <c r="A3591" s="1"/>
      <c r="H3591" s="2"/>
    </row>
    <row r="3592" spans="1:8" x14ac:dyDescent="0.25">
      <c r="A3592" s="1"/>
      <c r="H3592" s="2"/>
    </row>
    <row r="3593" spans="1:8" x14ac:dyDescent="0.25">
      <c r="A3593" s="1"/>
      <c r="H3593" s="2"/>
    </row>
    <row r="3594" spans="1:8" x14ac:dyDescent="0.25">
      <c r="A3594" s="1"/>
      <c r="H3594" s="2"/>
    </row>
    <row r="3595" spans="1:8" x14ac:dyDescent="0.25">
      <c r="A3595" s="1"/>
      <c r="H3595" s="2"/>
    </row>
    <row r="3596" spans="1:8" x14ac:dyDescent="0.25">
      <c r="A3596" s="1"/>
      <c r="H3596" s="2"/>
    </row>
    <row r="3597" spans="1:8" x14ac:dyDescent="0.25">
      <c r="A3597" s="1"/>
      <c r="H3597" s="2"/>
    </row>
    <row r="3598" spans="1:8" x14ac:dyDescent="0.25">
      <c r="A3598" s="1"/>
      <c r="H3598" s="2"/>
    </row>
    <row r="3599" spans="1:8" x14ac:dyDescent="0.25">
      <c r="A3599" s="1"/>
      <c r="H3599" s="2"/>
    </row>
    <row r="3600" spans="1:8" x14ac:dyDescent="0.25">
      <c r="A3600" s="1"/>
      <c r="H3600" s="2"/>
    </row>
    <row r="3601" spans="1:8" x14ac:dyDescent="0.25">
      <c r="A3601" s="1"/>
      <c r="H3601" s="2"/>
    </row>
    <row r="3602" spans="1:8" x14ac:dyDescent="0.25">
      <c r="A3602" s="1"/>
      <c r="H3602" s="2"/>
    </row>
    <row r="3603" spans="1:8" x14ac:dyDescent="0.25">
      <c r="A3603" s="1"/>
      <c r="H3603" s="2"/>
    </row>
    <row r="3604" spans="1:8" x14ac:dyDescent="0.25">
      <c r="A3604" s="1"/>
      <c r="H3604" s="2"/>
    </row>
    <row r="3605" spans="1:8" x14ac:dyDescent="0.25">
      <c r="A3605" s="1"/>
      <c r="H3605" s="2"/>
    </row>
    <row r="3606" spans="1:8" x14ac:dyDescent="0.25">
      <c r="A3606" s="1"/>
      <c r="H3606" s="2"/>
    </row>
    <row r="3607" spans="1:8" x14ac:dyDescent="0.25">
      <c r="A3607" s="1"/>
      <c r="H3607" s="2"/>
    </row>
    <row r="3608" spans="1:8" x14ac:dyDescent="0.25">
      <c r="A3608" s="1"/>
      <c r="H3608" s="2"/>
    </row>
    <row r="3609" spans="1:8" x14ac:dyDescent="0.25">
      <c r="A3609" s="1"/>
      <c r="H3609" s="2"/>
    </row>
    <row r="3610" spans="1:8" x14ac:dyDescent="0.25">
      <c r="A3610" s="1"/>
      <c r="H3610" s="2"/>
    </row>
    <row r="3611" spans="1:8" x14ac:dyDescent="0.25">
      <c r="A3611" s="1"/>
      <c r="H3611" s="2"/>
    </row>
    <row r="3612" spans="1:8" x14ac:dyDescent="0.25">
      <c r="A3612" s="1"/>
      <c r="H3612" s="2"/>
    </row>
    <row r="3613" spans="1:8" x14ac:dyDescent="0.25">
      <c r="A3613" s="1"/>
      <c r="H3613" s="2"/>
    </row>
    <row r="3614" spans="1:8" x14ac:dyDescent="0.25">
      <c r="A3614" s="1"/>
      <c r="H3614" s="2"/>
    </row>
    <row r="3615" spans="1:8" x14ac:dyDescent="0.25">
      <c r="A3615" s="1"/>
      <c r="H3615" s="2"/>
    </row>
    <row r="3616" spans="1:8" x14ac:dyDescent="0.25">
      <c r="A3616" s="1"/>
      <c r="H3616" s="2"/>
    </row>
    <row r="3617" spans="1:8" x14ac:dyDescent="0.25">
      <c r="A3617" s="1"/>
      <c r="H3617" s="2"/>
    </row>
    <row r="3618" spans="1:8" x14ac:dyDescent="0.25">
      <c r="A3618" s="1"/>
      <c r="H3618" s="2"/>
    </row>
    <row r="3619" spans="1:8" x14ac:dyDescent="0.25">
      <c r="A3619" s="1"/>
      <c r="H3619" s="2"/>
    </row>
    <row r="3620" spans="1:8" x14ac:dyDescent="0.25">
      <c r="A3620" s="1"/>
      <c r="H3620" s="2"/>
    </row>
    <row r="3621" spans="1:8" x14ac:dyDescent="0.25">
      <c r="A3621" s="1"/>
      <c r="H3621" s="2"/>
    </row>
    <row r="3622" spans="1:8" x14ac:dyDescent="0.25">
      <c r="A3622" s="1"/>
      <c r="H3622" s="2"/>
    </row>
    <row r="3623" spans="1:8" x14ac:dyDescent="0.25">
      <c r="A3623" s="1"/>
      <c r="H3623" s="2"/>
    </row>
    <row r="3624" spans="1:8" x14ac:dyDescent="0.25">
      <c r="A3624" s="1"/>
      <c r="H3624" s="2"/>
    </row>
    <row r="3625" spans="1:8" x14ac:dyDescent="0.25">
      <c r="A3625" s="1"/>
      <c r="H3625" s="2"/>
    </row>
    <row r="3626" spans="1:8" x14ac:dyDescent="0.25">
      <c r="A3626" s="1"/>
      <c r="H3626" s="2"/>
    </row>
    <row r="3627" spans="1:8" x14ac:dyDescent="0.25">
      <c r="A3627" s="1"/>
      <c r="H3627" s="2"/>
    </row>
    <row r="3628" spans="1:8" x14ac:dyDescent="0.25">
      <c r="A3628" s="1"/>
      <c r="H3628" s="2"/>
    </row>
    <row r="3629" spans="1:8" x14ac:dyDescent="0.25">
      <c r="A3629" s="1"/>
      <c r="H3629" s="2"/>
    </row>
    <row r="3630" spans="1:8" x14ac:dyDescent="0.25">
      <c r="A3630" s="1"/>
      <c r="H3630" s="2"/>
    </row>
    <row r="3631" spans="1:8" x14ac:dyDescent="0.25">
      <c r="A3631" s="1"/>
      <c r="H3631" s="2"/>
    </row>
    <row r="3632" spans="1:8" x14ac:dyDescent="0.25">
      <c r="A3632" s="1"/>
      <c r="H3632" s="2"/>
    </row>
    <row r="3633" spans="1:8" x14ac:dyDescent="0.25">
      <c r="A3633" s="1"/>
      <c r="H3633" s="2"/>
    </row>
    <row r="3634" spans="1:8" x14ac:dyDescent="0.25">
      <c r="A3634" s="1"/>
      <c r="H3634" s="2"/>
    </row>
    <row r="3635" spans="1:8" x14ac:dyDescent="0.25">
      <c r="A3635" s="1"/>
      <c r="H3635" s="2"/>
    </row>
    <row r="3636" spans="1:8" x14ac:dyDescent="0.25">
      <c r="A3636" s="1"/>
      <c r="H3636" s="2"/>
    </row>
    <row r="3637" spans="1:8" x14ac:dyDescent="0.25">
      <c r="A3637" s="1"/>
      <c r="H3637" s="2"/>
    </row>
    <row r="3638" spans="1:8" x14ac:dyDescent="0.25">
      <c r="A3638" s="1"/>
      <c r="H3638" s="2"/>
    </row>
    <row r="3639" spans="1:8" x14ac:dyDescent="0.25">
      <c r="A3639" s="1"/>
      <c r="H3639" s="2"/>
    </row>
    <row r="3640" spans="1:8" x14ac:dyDescent="0.25">
      <c r="A3640" s="1"/>
      <c r="H3640" s="2"/>
    </row>
    <row r="3641" spans="1:8" x14ac:dyDescent="0.25">
      <c r="A3641" s="1"/>
      <c r="H3641" s="2"/>
    </row>
    <row r="3642" spans="1:8" x14ac:dyDescent="0.25">
      <c r="A3642" s="1"/>
      <c r="H3642" s="2"/>
    </row>
    <row r="3643" spans="1:8" x14ac:dyDescent="0.25">
      <c r="A3643" s="1"/>
      <c r="H3643" s="2"/>
    </row>
    <row r="3644" spans="1:8" x14ac:dyDescent="0.25">
      <c r="A3644" s="1"/>
      <c r="H3644" s="2"/>
    </row>
    <row r="3645" spans="1:8" x14ac:dyDescent="0.25">
      <c r="A3645" s="1"/>
      <c r="H3645" s="2"/>
    </row>
    <row r="3646" spans="1:8" x14ac:dyDescent="0.25">
      <c r="A3646" s="1"/>
      <c r="H3646" s="2"/>
    </row>
    <row r="3647" spans="1:8" x14ac:dyDescent="0.25">
      <c r="A3647" s="1"/>
      <c r="H3647" s="2"/>
    </row>
    <row r="3648" spans="1:8" x14ac:dyDescent="0.25">
      <c r="A3648" s="1"/>
      <c r="H3648" s="2"/>
    </row>
    <row r="3649" spans="1:8" x14ac:dyDescent="0.25">
      <c r="A3649" s="1"/>
      <c r="H3649" s="2"/>
    </row>
    <row r="3650" spans="1:8" x14ac:dyDescent="0.25">
      <c r="A3650" s="1"/>
      <c r="H3650" s="2"/>
    </row>
    <row r="3651" spans="1:8" x14ac:dyDescent="0.25">
      <c r="A3651" s="1"/>
      <c r="H3651" s="2"/>
    </row>
    <row r="3652" spans="1:8" x14ac:dyDescent="0.25">
      <c r="A3652" s="1"/>
      <c r="H3652" s="2"/>
    </row>
    <row r="3653" spans="1:8" x14ac:dyDescent="0.25">
      <c r="A3653" s="1"/>
      <c r="H3653" s="2"/>
    </row>
    <row r="3654" spans="1:8" x14ac:dyDescent="0.25">
      <c r="A3654" s="1"/>
      <c r="H3654" s="2"/>
    </row>
    <row r="3655" spans="1:8" x14ac:dyDescent="0.25">
      <c r="A3655" s="1"/>
      <c r="H3655" s="2"/>
    </row>
    <row r="3656" spans="1:8" x14ac:dyDescent="0.25">
      <c r="A3656" s="1"/>
      <c r="H3656" s="2"/>
    </row>
    <row r="3657" spans="1:8" x14ac:dyDescent="0.25">
      <c r="A3657" s="1"/>
      <c r="H3657" s="2"/>
    </row>
    <row r="3658" spans="1:8" x14ac:dyDescent="0.25">
      <c r="A3658" s="1"/>
      <c r="H3658" s="2"/>
    </row>
    <row r="3659" spans="1:8" x14ac:dyDescent="0.25">
      <c r="A3659" s="1"/>
      <c r="H3659" s="2"/>
    </row>
    <row r="3660" spans="1:8" x14ac:dyDescent="0.25">
      <c r="A3660" s="1"/>
      <c r="H3660" s="2"/>
    </row>
    <row r="3661" spans="1:8" x14ac:dyDescent="0.25">
      <c r="A3661" s="1"/>
      <c r="H3661" s="2"/>
    </row>
    <row r="3662" spans="1:8" x14ac:dyDescent="0.25">
      <c r="A3662" s="1"/>
      <c r="H3662" s="2"/>
    </row>
    <row r="3663" spans="1:8" x14ac:dyDescent="0.25">
      <c r="A3663" s="1"/>
      <c r="H3663" s="2"/>
    </row>
    <row r="3664" spans="1:8" x14ac:dyDescent="0.25">
      <c r="A3664" s="1"/>
      <c r="H3664" s="2"/>
    </row>
    <row r="3665" spans="1:8" x14ac:dyDescent="0.25">
      <c r="A3665" s="1"/>
      <c r="H3665" s="2"/>
    </row>
    <row r="3666" spans="1:8" x14ac:dyDescent="0.25">
      <c r="A3666" s="1"/>
      <c r="H3666" s="2"/>
    </row>
    <row r="3667" spans="1:8" x14ac:dyDescent="0.25">
      <c r="A3667" s="1"/>
      <c r="H3667" s="2"/>
    </row>
    <row r="3668" spans="1:8" x14ac:dyDescent="0.25">
      <c r="A3668" s="1"/>
      <c r="H3668" s="2"/>
    </row>
    <row r="3669" spans="1:8" x14ac:dyDescent="0.25">
      <c r="A3669" s="1"/>
      <c r="H3669" s="2"/>
    </row>
    <row r="3670" spans="1:8" x14ac:dyDescent="0.25">
      <c r="A3670" s="1"/>
      <c r="H3670" s="2"/>
    </row>
    <row r="3671" spans="1:8" x14ac:dyDescent="0.25">
      <c r="A3671" s="1"/>
      <c r="H3671" s="2"/>
    </row>
    <row r="3672" spans="1:8" x14ac:dyDescent="0.25">
      <c r="A3672" s="1"/>
      <c r="H3672" s="2"/>
    </row>
    <row r="3673" spans="1:8" x14ac:dyDescent="0.25">
      <c r="A3673" s="1"/>
      <c r="H3673" s="2"/>
    </row>
    <row r="3674" spans="1:8" x14ac:dyDescent="0.25">
      <c r="A3674" s="1"/>
      <c r="H3674" s="2"/>
    </row>
    <row r="3675" spans="1:8" x14ac:dyDescent="0.25">
      <c r="A3675" s="1"/>
      <c r="H3675" s="2"/>
    </row>
    <row r="3676" spans="1:8" x14ac:dyDescent="0.25">
      <c r="A3676" s="1"/>
      <c r="H3676" s="2"/>
    </row>
    <row r="3677" spans="1:8" x14ac:dyDescent="0.25">
      <c r="A3677" s="1"/>
      <c r="H3677" s="2"/>
    </row>
    <row r="3678" spans="1:8" x14ac:dyDescent="0.25">
      <c r="A3678" s="1"/>
      <c r="H3678" s="2"/>
    </row>
    <row r="3679" spans="1:8" x14ac:dyDescent="0.25">
      <c r="A3679" s="1"/>
      <c r="H3679" s="2"/>
    </row>
    <row r="3680" spans="1:8" x14ac:dyDescent="0.25">
      <c r="A3680" s="1"/>
      <c r="H3680" s="2"/>
    </row>
    <row r="3681" spans="1:8" x14ac:dyDescent="0.25">
      <c r="A3681" s="1"/>
      <c r="H3681" s="2"/>
    </row>
    <row r="3682" spans="1:8" x14ac:dyDescent="0.25">
      <c r="A3682" s="1"/>
      <c r="H3682" s="2"/>
    </row>
    <row r="3683" spans="1:8" x14ac:dyDescent="0.25">
      <c r="A3683" s="1"/>
      <c r="H3683" s="2"/>
    </row>
    <row r="3684" spans="1:8" x14ac:dyDescent="0.25">
      <c r="A3684" s="1"/>
      <c r="H3684" s="2"/>
    </row>
    <row r="3685" spans="1:8" x14ac:dyDescent="0.25">
      <c r="A3685" s="1"/>
      <c r="H3685" s="2"/>
    </row>
    <row r="3686" spans="1:8" x14ac:dyDescent="0.25">
      <c r="A3686" s="1"/>
      <c r="H3686" s="2"/>
    </row>
    <row r="3687" spans="1:8" x14ac:dyDescent="0.25">
      <c r="A3687" s="1"/>
      <c r="H3687" s="2"/>
    </row>
    <row r="3688" spans="1:8" x14ac:dyDescent="0.25">
      <c r="A3688" s="1"/>
      <c r="H3688" s="2"/>
    </row>
    <row r="3689" spans="1:8" x14ac:dyDescent="0.25">
      <c r="A3689" s="1"/>
      <c r="H3689" s="2"/>
    </row>
    <row r="3690" spans="1:8" x14ac:dyDescent="0.25">
      <c r="A3690" s="1"/>
      <c r="H3690" s="2"/>
    </row>
    <row r="3691" spans="1:8" x14ac:dyDescent="0.25">
      <c r="A3691" s="1"/>
      <c r="H3691" s="2"/>
    </row>
    <row r="3692" spans="1:8" x14ac:dyDescent="0.25">
      <c r="A3692" s="1"/>
      <c r="H3692" s="2"/>
    </row>
    <row r="3693" spans="1:8" x14ac:dyDescent="0.25">
      <c r="A3693" s="1"/>
      <c r="H3693" s="2"/>
    </row>
    <row r="3694" spans="1:8" x14ac:dyDescent="0.25">
      <c r="A3694" s="1"/>
      <c r="H3694" s="2"/>
    </row>
    <row r="3695" spans="1:8" x14ac:dyDescent="0.25">
      <c r="A3695" s="1"/>
      <c r="H3695" s="2"/>
    </row>
    <row r="3696" spans="1:8" x14ac:dyDescent="0.25">
      <c r="A3696" s="1"/>
      <c r="H3696" s="2"/>
    </row>
    <row r="3697" spans="1:8" x14ac:dyDescent="0.25">
      <c r="A3697" s="1"/>
      <c r="H3697" s="2"/>
    </row>
    <row r="3698" spans="1:8" x14ac:dyDescent="0.25">
      <c r="A3698" s="1"/>
      <c r="H3698" s="2"/>
    </row>
    <row r="3699" spans="1:8" x14ac:dyDescent="0.25">
      <c r="A3699" s="1"/>
      <c r="H3699" s="2"/>
    </row>
    <row r="3700" spans="1:8" x14ac:dyDescent="0.25">
      <c r="A3700" s="1"/>
      <c r="H3700" s="2"/>
    </row>
    <row r="3701" spans="1:8" x14ac:dyDescent="0.25">
      <c r="A3701" s="1"/>
      <c r="H3701" s="2"/>
    </row>
    <row r="3702" spans="1:8" x14ac:dyDescent="0.25">
      <c r="A3702" s="1"/>
      <c r="H3702" s="2"/>
    </row>
    <row r="3703" spans="1:8" x14ac:dyDescent="0.25">
      <c r="A3703" s="1"/>
      <c r="H3703" s="2"/>
    </row>
    <row r="3704" spans="1:8" x14ac:dyDescent="0.25">
      <c r="A3704" s="1"/>
      <c r="H3704" s="2"/>
    </row>
    <row r="3705" spans="1:8" x14ac:dyDescent="0.25">
      <c r="A3705" s="1"/>
      <c r="H3705" s="2"/>
    </row>
    <row r="3706" spans="1:8" x14ac:dyDescent="0.25">
      <c r="A3706" s="1"/>
      <c r="H3706" s="2"/>
    </row>
    <row r="3707" spans="1:8" x14ac:dyDescent="0.25">
      <c r="A3707" s="1"/>
      <c r="H3707" s="2"/>
    </row>
    <row r="3708" spans="1:8" x14ac:dyDescent="0.25">
      <c r="A3708" s="1"/>
      <c r="H3708" s="2"/>
    </row>
    <row r="3709" spans="1:8" x14ac:dyDescent="0.25">
      <c r="A3709" s="1"/>
      <c r="H3709" s="2"/>
    </row>
    <row r="3710" spans="1:8" x14ac:dyDescent="0.25">
      <c r="A3710" s="1"/>
      <c r="H3710" s="2"/>
    </row>
    <row r="3711" spans="1:8" x14ac:dyDescent="0.25">
      <c r="A3711" s="1"/>
      <c r="H3711" s="2"/>
    </row>
    <row r="3712" spans="1:8" x14ac:dyDescent="0.25">
      <c r="A3712" s="1"/>
      <c r="H3712" s="2"/>
    </row>
    <row r="3713" spans="1:8" x14ac:dyDescent="0.25">
      <c r="A3713" s="1"/>
      <c r="H3713" s="2"/>
    </row>
    <row r="3714" spans="1:8" x14ac:dyDescent="0.25">
      <c r="A3714" s="1"/>
      <c r="H3714" s="2"/>
    </row>
    <row r="3715" spans="1:8" x14ac:dyDescent="0.25">
      <c r="A3715" s="1"/>
      <c r="H3715" s="2"/>
    </row>
    <row r="3716" spans="1:8" x14ac:dyDescent="0.25">
      <c r="A3716" s="1"/>
      <c r="H3716" s="2"/>
    </row>
    <row r="3717" spans="1:8" x14ac:dyDescent="0.25">
      <c r="A3717" s="1"/>
      <c r="H3717" s="2"/>
    </row>
    <row r="3718" spans="1:8" x14ac:dyDescent="0.25">
      <c r="A3718" s="1"/>
      <c r="H3718" s="2"/>
    </row>
    <row r="3719" spans="1:8" x14ac:dyDescent="0.25">
      <c r="A3719" s="1"/>
      <c r="H3719" s="2"/>
    </row>
    <row r="3720" spans="1:8" x14ac:dyDescent="0.25">
      <c r="A3720" s="1"/>
      <c r="H3720" s="2"/>
    </row>
    <row r="3721" spans="1:8" x14ac:dyDescent="0.25">
      <c r="A3721" s="1"/>
      <c r="H3721" s="2"/>
    </row>
    <row r="3722" spans="1:8" x14ac:dyDescent="0.25">
      <c r="A3722" s="1"/>
      <c r="H3722" s="2"/>
    </row>
    <row r="3723" spans="1:8" x14ac:dyDescent="0.25">
      <c r="A3723" s="1"/>
      <c r="H3723" s="2"/>
    </row>
    <row r="3724" spans="1:8" x14ac:dyDescent="0.25">
      <c r="A3724" s="1"/>
      <c r="H3724" s="2"/>
    </row>
    <row r="3725" spans="1:8" x14ac:dyDescent="0.25">
      <c r="A3725" s="1"/>
      <c r="H3725" s="2"/>
    </row>
    <row r="3726" spans="1:8" x14ac:dyDescent="0.25">
      <c r="A3726" s="1"/>
      <c r="H3726" s="2"/>
    </row>
    <row r="3727" spans="1:8" x14ac:dyDescent="0.25">
      <c r="A3727" s="1"/>
      <c r="H3727" s="2"/>
    </row>
    <row r="3728" spans="1:8" x14ac:dyDescent="0.25">
      <c r="A3728" s="1"/>
      <c r="H3728" s="2"/>
    </row>
    <row r="3729" spans="1:8" x14ac:dyDescent="0.25">
      <c r="A3729" s="1"/>
      <c r="H3729" s="2"/>
    </row>
    <row r="3730" spans="1:8" x14ac:dyDescent="0.25">
      <c r="A3730" s="1"/>
      <c r="H3730" s="2"/>
    </row>
    <row r="3731" spans="1:8" x14ac:dyDescent="0.25">
      <c r="A3731" s="1"/>
      <c r="H3731" s="2"/>
    </row>
    <row r="3732" spans="1:8" x14ac:dyDescent="0.25">
      <c r="A3732" s="1"/>
      <c r="H3732" s="2"/>
    </row>
    <row r="3733" spans="1:8" x14ac:dyDescent="0.25">
      <c r="A3733" s="1"/>
      <c r="H3733" s="2"/>
    </row>
    <row r="3734" spans="1:8" x14ac:dyDescent="0.25">
      <c r="A3734" s="1"/>
      <c r="H3734" s="2"/>
    </row>
    <row r="3735" spans="1:8" x14ac:dyDescent="0.25">
      <c r="A3735" s="1"/>
      <c r="H3735" s="2"/>
    </row>
    <row r="3736" spans="1:8" x14ac:dyDescent="0.25">
      <c r="A3736" s="1"/>
      <c r="H3736" s="2"/>
    </row>
    <row r="3737" spans="1:8" x14ac:dyDescent="0.25">
      <c r="A3737" s="1"/>
      <c r="H3737" s="2"/>
    </row>
    <row r="3738" spans="1:8" x14ac:dyDescent="0.25">
      <c r="A3738" s="1"/>
      <c r="H3738" s="2"/>
    </row>
    <row r="3739" spans="1:8" x14ac:dyDescent="0.25">
      <c r="A3739" s="1"/>
      <c r="H3739" s="2"/>
    </row>
    <row r="3740" spans="1:8" x14ac:dyDescent="0.25">
      <c r="A3740" s="1"/>
      <c r="H3740" s="2"/>
    </row>
    <row r="3741" spans="1:8" x14ac:dyDescent="0.25">
      <c r="A3741" s="1"/>
      <c r="H3741" s="2"/>
    </row>
    <row r="3742" spans="1:8" x14ac:dyDescent="0.25">
      <c r="A3742" s="1"/>
      <c r="H3742" s="2"/>
    </row>
    <row r="3743" spans="1:8" x14ac:dyDescent="0.25">
      <c r="A3743" s="1"/>
      <c r="H3743" s="2"/>
    </row>
    <row r="3744" spans="1:8" x14ac:dyDescent="0.25">
      <c r="A3744" s="1"/>
      <c r="H3744" s="2"/>
    </row>
    <row r="3745" spans="1:8" x14ac:dyDescent="0.25">
      <c r="A3745" s="1"/>
      <c r="H3745" s="2"/>
    </row>
    <row r="3746" spans="1:8" x14ac:dyDescent="0.25">
      <c r="A3746" s="1"/>
      <c r="H3746" s="2"/>
    </row>
    <row r="3747" spans="1:8" x14ac:dyDescent="0.25">
      <c r="A3747" s="1"/>
      <c r="H3747" s="2"/>
    </row>
    <row r="3748" spans="1:8" x14ac:dyDescent="0.25">
      <c r="A3748" s="1"/>
      <c r="H3748" s="2"/>
    </row>
    <row r="3749" spans="1:8" x14ac:dyDescent="0.25">
      <c r="A3749" s="1"/>
      <c r="H3749" s="2"/>
    </row>
    <row r="3750" spans="1:8" x14ac:dyDescent="0.25">
      <c r="A3750" s="1"/>
      <c r="H3750" s="2"/>
    </row>
    <row r="3751" spans="1:8" x14ac:dyDescent="0.25">
      <c r="A3751" s="1"/>
      <c r="H3751" s="2"/>
    </row>
    <row r="3752" spans="1:8" x14ac:dyDescent="0.25">
      <c r="A3752" s="1"/>
      <c r="H3752" s="2"/>
    </row>
    <row r="3753" spans="1:8" x14ac:dyDescent="0.25">
      <c r="A3753" s="1"/>
      <c r="H3753" s="2"/>
    </row>
    <row r="3754" spans="1:8" x14ac:dyDescent="0.25">
      <c r="A3754" s="1"/>
      <c r="H3754" s="2"/>
    </row>
    <row r="3755" spans="1:8" x14ac:dyDescent="0.25">
      <c r="A3755" s="1"/>
      <c r="H3755" s="2"/>
    </row>
    <row r="3756" spans="1:8" x14ac:dyDescent="0.25">
      <c r="A3756" s="1"/>
      <c r="H3756" s="2"/>
    </row>
    <row r="3757" spans="1:8" x14ac:dyDescent="0.25">
      <c r="A3757" s="1"/>
      <c r="H3757" s="2"/>
    </row>
    <row r="3758" spans="1:8" x14ac:dyDescent="0.25">
      <c r="A3758" s="1"/>
      <c r="H3758" s="2"/>
    </row>
    <row r="3759" spans="1:8" x14ac:dyDescent="0.25">
      <c r="A3759" s="1"/>
      <c r="H3759" s="2"/>
    </row>
    <row r="3760" spans="1:8" x14ac:dyDescent="0.25">
      <c r="A3760" s="1"/>
      <c r="H3760" s="2"/>
    </row>
    <row r="3761" spans="1:8" x14ac:dyDescent="0.25">
      <c r="A3761" s="1"/>
      <c r="H3761" s="2"/>
    </row>
    <row r="3762" spans="1:8" x14ac:dyDescent="0.25">
      <c r="A3762" s="1"/>
      <c r="H3762" s="2"/>
    </row>
    <row r="3763" spans="1:8" x14ac:dyDescent="0.25">
      <c r="A3763" s="1"/>
      <c r="H3763" s="2"/>
    </row>
    <row r="3764" spans="1:8" x14ac:dyDescent="0.25">
      <c r="A3764" s="1"/>
      <c r="H3764" s="2"/>
    </row>
    <row r="3765" spans="1:8" x14ac:dyDescent="0.25">
      <c r="A3765" s="1"/>
      <c r="H3765" s="2"/>
    </row>
    <row r="3766" spans="1:8" x14ac:dyDescent="0.25">
      <c r="A3766" s="1"/>
      <c r="H3766" s="2"/>
    </row>
    <row r="3767" spans="1:8" x14ac:dyDescent="0.25">
      <c r="A3767" s="1"/>
      <c r="H3767" s="2"/>
    </row>
    <row r="3768" spans="1:8" x14ac:dyDescent="0.25">
      <c r="A3768" s="1"/>
      <c r="H3768" s="2"/>
    </row>
    <row r="3769" spans="1:8" x14ac:dyDescent="0.25">
      <c r="A3769" s="1"/>
      <c r="H3769" s="2"/>
    </row>
    <row r="3770" spans="1:8" x14ac:dyDescent="0.25">
      <c r="A3770" s="1"/>
      <c r="H3770" s="2"/>
    </row>
    <row r="3771" spans="1:8" x14ac:dyDescent="0.25">
      <c r="A3771" s="1"/>
      <c r="H3771" s="2"/>
    </row>
    <row r="3772" spans="1:8" x14ac:dyDescent="0.25">
      <c r="A3772" s="1"/>
      <c r="H3772" s="2"/>
    </row>
    <row r="3773" spans="1:8" x14ac:dyDescent="0.25">
      <c r="A3773" s="1"/>
      <c r="H3773" s="2"/>
    </row>
    <row r="3774" spans="1:8" x14ac:dyDescent="0.25">
      <c r="A3774" s="1"/>
      <c r="H3774" s="2"/>
    </row>
    <row r="3775" spans="1:8" x14ac:dyDescent="0.25">
      <c r="A3775" s="1"/>
      <c r="H3775" s="2"/>
    </row>
    <row r="3776" spans="1:8" x14ac:dyDescent="0.25">
      <c r="A3776" s="1"/>
      <c r="H3776" s="2"/>
    </row>
    <row r="3777" spans="1:8" x14ac:dyDescent="0.25">
      <c r="A3777" s="1"/>
      <c r="H3777" s="2"/>
    </row>
    <row r="3778" spans="1:8" x14ac:dyDescent="0.25">
      <c r="A3778" s="1"/>
      <c r="H3778" s="2"/>
    </row>
    <row r="3779" spans="1:8" x14ac:dyDescent="0.25">
      <c r="A3779" s="1"/>
      <c r="H3779" s="2"/>
    </row>
    <row r="3780" spans="1:8" x14ac:dyDescent="0.25">
      <c r="A3780" s="1"/>
      <c r="H3780" s="2"/>
    </row>
    <row r="3781" spans="1:8" x14ac:dyDescent="0.25">
      <c r="A3781" s="1"/>
      <c r="H3781" s="2"/>
    </row>
    <row r="3782" spans="1:8" x14ac:dyDescent="0.25">
      <c r="A3782" s="1"/>
      <c r="H3782" s="2"/>
    </row>
    <row r="3783" spans="1:8" x14ac:dyDescent="0.25">
      <c r="A3783" s="1"/>
      <c r="H3783" s="2"/>
    </row>
    <row r="3784" spans="1:8" x14ac:dyDescent="0.25">
      <c r="A3784" s="1"/>
      <c r="H3784" s="2"/>
    </row>
    <row r="3785" spans="1:8" x14ac:dyDescent="0.25">
      <c r="A3785" s="1"/>
      <c r="H3785" s="2"/>
    </row>
    <row r="3786" spans="1:8" x14ac:dyDescent="0.25">
      <c r="A3786" s="1"/>
      <c r="H3786" s="2"/>
    </row>
    <row r="3787" spans="1:8" x14ac:dyDescent="0.25">
      <c r="A3787" s="1"/>
      <c r="H3787" s="2"/>
    </row>
    <row r="3788" spans="1:8" x14ac:dyDescent="0.25">
      <c r="A3788" s="1"/>
      <c r="H3788" s="2"/>
    </row>
    <row r="3789" spans="1:8" x14ac:dyDescent="0.25">
      <c r="A3789" s="1"/>
      <c r="H3789" s="2"/>
    </row>
    <row r="3790" spans="1:8" x14ac:dyDescent="0.25">
      <c r="A3790" s="1"/>
      <c r="H3790" s="2"/>
    </row>
    <row r="3791" spans="1:8" x14ac:dyDescent="0.25">
      <c r="A3791" s="1"/>
      <c r="H3791" s="2"/>
    </row>
    <row r="3792" spans="1:8" x14ac:dyDescent="0.25">
      <c r="A3792" s="1"/>
      <c r="H3792" s="2"/>
    </row>
    <row r="3793" spans="1:8" x14ac:dyDescent="0.25">
      <c r="A3793" s="1"/>
      <c r="H3793" s="2"/>
    </row>
    <row r="3794" spans="1:8" x14ac:dyDescent="0.25">
      <c r="A3794" s="1"/>
      <c r="H3794" s="2"/>
    </row>
    <row r="3795" spans="1:8" x14ac:dyDescent="0.25">
      <c r="A3795" s="1"/>
      <c r="H3795" s="2"/>
    </row>
    <row r="3796" spans="1:8" x14ac:dyDescent="0.25">
      <c r="A3796" s="1"/>
      <c r="H3796" s="2"/>
    </row>
    <row r="3797" spans="1:8" x14ac:dyDescent="0.25">
      <c r="A3797" s="1"/>
      <c r="H3797" s="2"/>
    </row>
    <row r="3798" spans="1:8" x14ac:dyDescent="0.25">
      <c r="A3798" s="1"/>
      <c r="H3798" s="2"/>
    </row>
    <row r="3799" spans="1:8" x14ac:dyDescent="0.25">
      <c r="A3799" s="1"/>
      <c r="H3799" s="2"/>
    </row>
    <row r="3800" spans="1:8" x14ac:dyDescent="0.25">
      <c r="A3800" s="1"/>
      <c r="H3800" s="2"/>
    </row>
    <row r="3801" spans="1:8" x14ac:dyDescent="0.25">
      <c r="A3801" s="1"/>
      <c r="H3801" s="2"/>
    </row>
    <row r="3802" spans="1:8" x14ac:dyDescent="0.25">
      <c r="A3802" s="1"/>
      <c r="H3802" s="2"/>
    </row>
    <row r="3803" spans="1:8" x14ac:dyDescent="0.25">
      <c r="A3803" s="1"/>
      <c r="H3803" s="2"/>
    </row>
    <row r="3804" spans="1:8" x14ac:dyDescent="0.25">
      <c r="A3804" s="1"/>
      <c r="H3804" s="2"/>
    </row>
    <row r="3805" spans="1:8" x14ac:dyDescent="0.25">
      <c r="A3805" s="1"/>
      <c r="H3805" s="2"/>
    </row>
    <row r="3806" spans="1:8" x14ac:dyDescent="0.25">
      <c r="A3806" s="1"/>
      <c r="H3806" s="2"/>
    </row>
    <row r="3807" spans="1:8" x14ac:dyDescent="0.25">
      <c r="A3807" s="1"/>
      <c r="H3807" s="2"/>
    </row>
    <row r="3808" spans="1:8" x14ac:dyDescent="0.25">
      <c r="A3808" s="1"/>
      <c r="H3808" s="2"/>
    </row>
    <row r="3809" spans="1:8" x14ac:dyDescent="0.25">
      <c r="A3809" s="1"/>
      <c r="H3809" s="2"/>
    </row>
    <row r="3810" spans="1:8" x14ac:dyDescent="0.25">
      <c r="A3810" s="1"/>
      <c r="H3810" s="2"/>
    </row>
    <row r="3811" spans="1:8" x14ac:dyDescent="0.25">
      <c r="A3811" s="1"/>
      <c r="H3811" s="2"/>
    </row>
    <row r="3812" spans="1:8" x14ac:dyDescent="0.25">
      <c r="A3812" s="1"/>
      <c r="H3812" s="2"/>
    </row>
    <row r="3813" spans="1:8" x14ac:dyDescent="0.25">
      <c r="A3813" s="1"/>
      <c r="H3813" s="2"/>
    </row>
    <row r="3814" spans="1:8" x14ac:dyDescent="0.25">
      <c r="A3814" s="1"/>
      <c r="H3814" s="2"/>
    </row>
    <row r="3815" spans="1:8" x14ac:dyDescent="0.25">
      <c r="A3815" s="1"/>
      <c r="H3815" s="2"/>
    </row>
    <row r="3816" spans="1:8" x14ac:dyDescent="0.25">
      <c r="A3816" s="1"/>
      <c r="H3816" s="2"/>
    </row>
    <row r="3817" spans="1:8" x14ac:dyDescent="0.25">
      <c r="A3817" s="1"/>
      <c r="H3817" s="2"/>
    </row>
    <row r="3818" spans="1:8" x14ac:dyDescent="0.25">
      <c r="A3818" s="1"/>
      <c r="H3818" s="2"/>
    </row>
    <row r="3819" spans="1:8" x14ac:dyDescent="0.25">
      <c r="A3819" s="1"/>
      <c r="H3819" s="2"/>
    </row>
    <row r="3820" spans="1:8" x14ac:dyDescent="0.25">
      <c r="A3820" s="1"/>
      <c r="H3820" s="2"/>
    </row>
    <row r="3821" spans="1:8" x14ac:dyDescent="0.25">
      <c r="A3821" s="1"/>
      <c r="H3821" s="2"/>
    </row>
    <row r="3822" spans="1:8" x14ac:dyDescent="0.25">
      <c r="A3822" s="1"/>
      <c r="H3822" s="2"/>
    </row>
    <row r="3823" spans="1:8" x14ac:dyDescent="0.25">
      <c r="A3823" s="1"/>
      <c r="H3823" s="2"/>
    </row>
    <row r="3824" spans="1:8" x14ac:dyDescent="0.25">
      <c r="A3824" s="1"/>
      <c r="H3824" s="2"/>
    </row>
    <row r="3825" spans="1:8" x14ac:dyDescent="0.25">
      <c r="A3825" s="1"/>
      <c r="H3825" s="2"/>
    </row>
    <row r="3826" spans="1:8" x14ac:dyDescent="0.25">
      <c r="A3826" s="1"/>
      <c r="H3826" s="2"/>
    </row>
    <row r="3827" spans="1:8" x14ac:dyDescent="0.25">
      <c r="A3827" s="1"/>
      <c r="H3827" s="2"/>
    </row>
    <row r="3828" spans="1:8" x14ac:dyDescent="0.25">
      <c r="A3828" s="1"/>
      <c r="H3828" s="2"/>
    </row>
    <row r="3829" spans="1:8" x14ac:dyDescent="0.25">
      <c r="A3829" s="1"/>
      <c r="H3829" s="2"/>
    </row>
    <row r="3830" spans="1:8" x14ac:dyDescent="0.25">
      <c r="A3830" s="1"/>
      <c r="H3830" s="2"/>
    </row>
    <row r="3831" spans="1:8" x14ac:dyDescent="0.25">
      <c r="A3831" s="1"/>
      <c r="H3831" s="2"/>
    </row>
    <row r="3832" spans="1:8" x14ac:dyDescent="0.25">
      <c r="A3832" s="1"/>
      <c r="H3832" s="2"/>
    </row>
    <row r="3833" spans="1:8" x14ac:dyDescent="0.25">
      <c r="A3833" s="1"/>
      <c r="H3833" s="2"/>
    </row>
    <row r="3834" spans="1:8" x14ac:dyDescent="0.25">
      <c r="A3834" s="1"/>
      <c r="H3834" s="2"/>
    </row>
    <row r="3835" spans="1:8" x14ac:dyDescent="0.25">
      <c r="A3835" s="1"/>
      <c r="H3835" s="2"/>
    </row>
    <row r="3836" spans="1:8" x14ac:dyDescent="0.25">
      <c r="A3836" s="1"/>
      <c r="H3836" s="2"/>
    </row>
    <row r="3837" spans="1:8" x14ac:dyDescent="0.25">
      <c r="A3837" s="1"/>
      <c r="H3837" s="2"/>
    </row>
    <row r="3838" spans="1:8" x14ac:dyDescent="0.25">
      <c r="A3838" s="1"/>
      <c r="H3838" s="2"/>
    </row>
    <row r="3839" spans="1:8" x14ac:dyDescent="0.25">
      <c r="A3839" s="1"/>
      <c r="H3839" s="2"/>
    </row>
    <row r="3840" spans="1:8" x14ac:dyDescent="0.25">
      <c r="A3840" s="1"/>
      <c r="H3840" s="2"/>
    </row>
    <row r="3841" spans="1:8" x14ac:dyDescent="0.25">
      <c r="A3841" s="1"/>
      <c r="H3841" s="2"/>
    </row>
    <row r="3842" spans="1:8" x14ac:dyDescent="0.25">
      <c r="A3842" s="1"/>
      <c r="H3842" s="2"/>
    </row>
    <row r="3843" spans="1:8" x14ac:dyDescent="0.25">
      <c r="A3843" s="1"/>
      <c r="H3843" s="2"/>
    </row>
    <row r="3844" spans="1:8" x14ac:dyDescent="0.25">
      <c r="A3844" s="1"/>
      <c r="H3844" s="2"/>
    </row>
    <row r="3845" spans="1:8" x14ac:dyDescent="0.25">
      <c r="A3845" s="1"/>
      <c r="H3845" s="2"/>
    </row>
    <row r="3846" spans="1:8" x14ac:dyDescent="0.25">
      <c r="A3846" s="1"/>
      <c r="H3846" s="2"/>
    </row>
    <row r="3847" spans="1:8" x14ac:dyDescent="0.25">
      <c r="A3847" s="1"/>
      <c r="H3847" s="2"/>
    </row>
    <row r="3848" spans="1:8" x14ac:dyDescent="0.25">
      <c r="A3848" s="1"/>
      <c r="H3848" s="2"/>
    </row>
    <row r="3849" spans="1:8" x14ac:dyDescent="0.25">
      <c r="A3849" s="1"/>
      <c r="H3849" s="2"/>
    </row>
    <row r="3850" spans="1:8" x14ac:dyDescent="0.25">
      <c r="A3850" s="1"/>
      <c r="H3850" s="2"/>
    </row>
    <row r="3851" spans="1:8" x14ac:dyDescent="0.25">
      <c r="A3851" s="1"/>
      <c r="H3851" s="2"/>
    </row>
    <row r="3852" spans="1:8" x14ac:dyDescent="0.25">
      <c r="A3852" s="1"/>
      <c r="H3852" s="2"/>
    </row>
    <row r="3853" spans="1:8" x14ac:dyDescent="0.25">
      <c r="A3853" s="1"/>
      <c r="H3853" s="2"/>
    </row>
    <row r="3854" spans="1:8" x14ac:dyDescent="0.25">
      <c r="A3854" s="1"/>
      <c r="H3854" s="2"/>
    </row>
    <row r="3855" spans="1:8" x14ac:dyDescent="0.25">
      <c r="A3855" s="1"/>
      <c r="H3855" s="2"/>
    </row>
    <row r="3856" spans="1:8" x14ac:dyDescent="0.25">
      <c r="A3856" s="1"/>
      <c r="H3856" s="2"/>
    </row>
    <row r="3857" spans="1:8" x14ac:dyDescent="0.25">
      <c r="A3857" s="1"/>
      <c r="H3857" s="2"/>
    </row>
    <row r="3858" spans="1:8" x14ac:dyDescent="0.25">
      <c r="A3858" s="1"/>
      <c r="H3858" s="2"/>
    </row>
    <row r="3859" spans="1:8" x14ac:dyDescent="0.25">
      <c r="A3859" s="1"/>
      <c r="H3859" s="2"/>
    </row>
    <row r="3860" spans="1:8" x14ac:dyDescent="0.25">
      <c r="A3860" s="1"/>
      <c r="H3860" s="2"/>
    </row>
    <row r="3861" spans="1:8" x14ac:dyDescent="0.25">
      <c r="A3861" s="1"/>
      <c r="H3861" s="2"/>
    </row>
    <row r="3862" spans="1:8" x14ac:dyDescent="0.25">
      <c r="A3862" s="1"/>
      <c r="H3862" s="2"/>
    </row>
    <row r="3863" spans="1:8" x14ac:dyDescent="0.25">
      <c r="A3863" s="1"/>
      <c r="H3863" s="2"/>
    </row>
    <row r="3864" spans="1:8" x14ac:dyDescent="0.25">
      <c r="A3864" s="1"/>
      <c r="H3864" s="2"/>
    </row>
    <row r="3865" spans="1:8" x14ac:dyDescent="0.25">
      <c r="A3865" s="1"/>
      <c r="H3865" s="2"/>
    </row>
    <row r="3866" spans="1:8" x14ac:dyDescent="0.25">
      <c r="A3866" s="1"/>
      <c r="H3866" s="2"/>
    </row>
    <row r="3867" spans="1:8" x14ac:dyDescent="0.25">
      <c r="A3867" s="1"/>
      <c r="H3867" s="2"/>
    </row>
    <row r="3868" spans="1:8" x14ac:dyDescent="0.25">
      <c r="A3868" s="1"/>
      <c r="H3868" s="2"/>
    </row>
    <row r="3869" spans="1:8" x14ac:dyDescent="0.25">
      <c r="A3869" s="1"/>
      <c r="H3869" s="2"/>
    </row>
    <row r="3870" spans="1:8" x14ac:dyDescent="0.25">
      <c r="A3870" s="1"/>
      <c r="H3870" s="2"/>
    </row>
    <row r="3871" spans="1:8" x14ac:dyDescent="0.25">
      <c r="A3871" s="1"/>
      <c r="H3871" s="2"/>
    </row>
    <row r="3872" spans="1:8" x14ac:dyDescent="0.25">
      <c r="A3872" s="1"/>
      <c r="H3872" s="2"/>
    </row>
    <row r="3873" spans="1:8" x14ac:dyDescent="0.25">
      <c r="A3873" s="1"/>
      <c r="H3873" s="2"/>
    </row>
    <row r="3874" spans="1:8" x14ac:dyDescent="0.25">
      <c r="A3874" s="1"/>
      <c r="H3874" s="2"/>
    </row>
    <row r="3875" spans="1:8" x14ac:dyDescent="0.25">
      <c r="A3875" s="1"/>
      <c r="H3875" s="2"/>
    </row>
    <row r="3876" spans="1:8" x14ac:dyDescent="0.25">
      <c r="A3876" s="1"/>
      <c r="H3876" s="2"/>
    </row>
    <row r="3877" spans="1:8" x14ac:dyDescent="0.25">
      <c r="A3877" s="1"/>
      <c r="H3877" s="2"/>
    </row>
    <row r="3878" spans="1:8" x14ac:dyDescent="0.25">
      <c r="A3878" s="1"/>
      <c r="H3878" s="2"/>
    </row>
    <row r="3879" spans="1:8" x14ac:dyDescent="0.25">
      <c r="A3879" s="1"/>
      <c r="H3879" s="2"/>
    </row>
    <row r="3880" spans="1:8" x14ac:dyDescent="0.25">
      <c r="A3880" s="1"/>
      <c r="H3880" s="2"/>
    </row>
    <row r="3881" spans="1:8" x14ac:dyDescent="0.25">
      <c r="A3881" s="1"/>
      <c r="H3881" s="2"/>
    </row>
    <row r="3882" spans="1:8" x14ac:dyDescent="0.25">
      <c r="A3882" s="1"/>
      <c r="H3882" s="2"/>
    </row>
    <row r="3883" spans="1:8" x14ac:dyDescent="0.25">
      <c r="A3883" s="1"/>
      <c r="H3883" s="2"/>
    </row>
    <row r="3884" spans="1:8" x14ac:dyDescent="0.25">
      <c r="A3884" s="1"/>
      <c r="H3884" s="2"/>
    </row>
    <row r="3885" spans="1:8" x14ac:dyDescent="0.25">
      <c r="A3885" s="1"/>
      <c r="H3885" s="2"/>
    </row>
    <row r="3886" spans="1:8" x14ac:dyDescent="0.25">
      <c r="A3886" s="1"/>
      <c r="H3886" s="2"/>
    </row>
    <row r="3887" spans="1:8" x14ac:dyDescent="0.25">
      <c r="A3887" s="1"/>
      <c r="H3887" s="2"/>
    </row>
    <row r="3888" spans="1:8" x14ac:dyDescent="0.25">
      <c r="A3888" s="1"/>
      <c r="H3888" s="2"/>
    </row>
    <row r="3889" spans="1:8" x14ac:dyDescent="0.25">
      <c r="A3889" s="1"/>
      <c r="H3889" s="2"/>
    </row>
    <row r="3890" spans="1:8" x14ac:dyDescent="0.25">
      <c r="A3890" s="1"/>
      <c r="H3890" s="2"/>
    </row>
    <row r="3891" spans="1:8" x14ac:dyDescent="0.25">
      <c r="A3891" s="1"/>
      <c r="H3891" s="2"/>
    </row>
    <row r="3892" spans="1:8" x14ac:dyDescent="0.25">
      <c r="A3892" s="1"/>
      <c r="H3892" s="2"/>
    </row>
    <row r="3893" spans="1:8" x14ac:dyDescent="0.25">
      <c r="A3893" s="1"/>
      <c r="H3893" s="2"/>
    </row>
    <row r="3894" spans="1:8" x14ac:dyDescent="0.25">
      <c r="A3894" s="1"/>
      <c r="H3894" s="2"/>
    </row>
    <row r="3895" spans="1:8" x14ac:dyDescent="0.25">
      <c r="A3895" s="1"/>
      <c r="H3895" s="2"/>
    </row>
    <row r="3896" spans="1:8" x14ac:dyDescent="0.25">
      <c r="A3896" s="1"/>
      <c r="H3896" s="2"/>
    </row>
    <row r="3897" spans="1:8" x14ac:dyDescent="0.25">
      <c r="A3897" s="1"/>
      <c r="H3897" s="2"/>
    </row>
    <row r="3898" spans="1:8" x14ac:dyDescent="0.25">
      <c r="A3898" s="1"/>
      <c r="H3898" s="2"/>
    </row>
    <row r="3899" spans="1:8" x14ac:dyDescent="0.25">
      <c r="A3899" s="1"/>
      <c r="H3899" s="2"/>
    </row>
    <row r="3900" spans="1:8" x14ac:dyDescent="0.25">
      <c r="A3900" s="1"/>
      <c r="H3900" s="2"/>
    </row>
    <row r="3901" spans="1:8" x14ac:dyDescent="0.25">
      <c r="A3901" s="1"/>
      <c r="H3901" s="2"/>
    </row>
    <row r="3902" spans="1:8" x14ac:dyDescent="0.25">
      <c r="A3902" s="1"/>
      <c r="H3902" s="2"/>
    </row>
    <row r="3903" spans="1:8" x14ac:dyDescent="0.25">
      <c r="A3903" s="1"/>
      <c r="H3903" s="2"/>
    </row>
    <row r="3904" spans="1:8" x14ac:dyDescent="0.25">
      <c r="A3904" s="1"/>
      <c r="H3904" s="2"/>
    </row>
    <row r="3905" spans="1:8" x14ac:dyDescent="0.25">
      <c r="A3905" s="1"/>
      <c r="H3905" s="2"/>
    </row>
    <row r="3906" spans="1:8" x14ac:dyDescent="0.25">
      <c r="A3906" s="1"/>
      <c r="H3906" s="2"/>
    </row>
    <row r="3907" spans="1:8" x14ac:dyDescent="0.25">
      <c r="A3907" s="1"/>
      <c r="H3907" s="2"/>
    </row>
    <row r="3908" spans="1:8" x14ac:dyDescent="0.25">
      <c r="A3908" s="1"/>
      <c r="H3908" s="2"/>
    </row>
    <row r="3909" spans="1:8" x14ac:dyDescent="0.25">
      <c r="A3909" s="1"/>
      <c r="H3909" s="2"/>
    </row>
    <row r="3910" spans="1:8" x14ac:dyDescent="0.25">
      <c r="A3910" s="1"/>
      <c r="H3910" s="2"/>
    </row>
    <row r="3911" spans="1:8" x14ac:dyDescent="0.25">
      <c r="A3911" s="1"/>
      <c r="H3911" s="2"/>
    </row>
    <row r="3912" spans="1:8" x14ac:dyDescent="0.25">
      <c r="A3912" s="1"/>
      <c r="H3912" s="2"/>
    </row>
    <row r="3913" spans="1:8" x14ac:dyDescent="0.25">
      <c r="A3913" s="1"/>
      <c r="H3913" s="2"/>
    </row>
    <row r="3914" spans="1:8" x14ac:dyDescent="0.25">
      <c r="A3914" s="1"/>
      <c r="H3914" s="2"/>
    </row>
    <row r="3915" spans="1:8" x14ac:dyDescent="0.25">
      <c r="A3915" s="1"/>
      <c r="H3915" s="2"/>
    </row>
    <row r="3916" spans="1:8" x14ac:dyDescent="0.25">
      <c r="A3916" s="1"/>
      <c r="H3916" s="2"/>
    </row>
    <row r="3917" spans="1:8" x14ac:dyDescent="0.25">
      <c r="A3917" s="1"/>
      <c r="H3917" s="2"/>
    </row>
    <row r="3918" spans="1:8" x14ac:dyDescent="0.25">
      <c r="A3918" s="1"/>
      <c r="H3918" s="2"/>
    </row>
    <row r="3919" spans="1:8" x14ac:dyDescent="0.25">
      <c r="A3919" s="1"/>
      <c r="H3919" s="2"/>
    </row>
    <row r="3920" spans="1:8" x14ac:dyDescent="0.25">
      <c r="A3920" s="1"/>
      <c r="H3920" s="2"/>
    </row>
    <row r="3921" spans="1:8" x14ac:dyDescent="0.25">
      <c r="A3921" s="1"/>
      <c r="H3921" s="2"/>
    </row>
    <row r="3922" spans="1:8" x14ac:dyDescent="0.25">
      <c r="A3922" s="1"/>
      <c r="H3922" s="2"/>
    </row>
    <row r="3923" spans="1:8" x14ac:dyDescent="0.25">
      <c r="A3923" s="1"/>
      <c r="H3923" s="2"/>
    </row>
    <row r="3924" spans="1:8" x14ac:dyDescent="0.25">
      <c r="A3924" s="1"/>
      <c r="H3924" s="2"/>
    </row>
    <row r="3925" spans="1:8" x14ac:dyDescent="0.25">
      <c r="A3925" s="1"/>
      <c r="H3925" s="2"/>
    </row>
    <row r="3926" spans="1:8" x14ac:dyDescent="0.25">
      <c r="A3926" s="1"/>
      <c r="H3926" s="2"/>
    </row>
    <row r="3927" spans="1:8" x14ac:dyDescent="0.25">
      <c r="A3927" s="1"/>
      <c r="H3927" s="2"/>
    </row>
    <row r="3928" spans="1:8" x14ac:dyDescent="0.25">
      <c r="A3928" s="1"/>
      <c r="H3928" s="2"/>
    </row>
    <row r="3929" spans="1:8" x14ac:dyDescent="0.25">
      <c r="A3929" s="1"/>
      <c r="H3929" s="2"/>
    </row>
    <row r="3930" spans="1:8" x14ac:dyDescent="0.25">
      <c r="A3930" s="1"/>
      <c r="H3930" s="2"/>
    </row>
    <row r="3931" spans="1:8" x14ac:dyDescent="0.25">
      <c r="A3931" s="1"/>
      <c r="H3931" s="2"/>
    </row>
    <row r="3932" spans="1:8" x14ac:dyDescent="0.25">
      <c r="A3932" s="1"/>
      <c r="H3932" s="2"/>
    </row>
    <row r="3933" spans="1:8" x14ac:dyDescent="0.25">
      <c r="A3933" s="1"/>
      <c r="H3933" s="2"/>
    </row>
    <row r="3934" spans="1:8" x14ac:dyDescent="0.25">
      <c r="A3934" s="1"/>
      <c r="H3934" s="2"/>
    </row>
    <row r="3935" spans="1:8" x14ac:dyDescent="0.25">
      <c r="A3935" s="1"/>
      <c r="H3935" s="2"/>
    </row>
    <row r="3936" spans="1:8" x14ac:dyDescent="0.25">
      <c r="A3936" s="1"/>
      <c r="H3936" s="2"/>
    </row>
    <row r="3937" spans="1:8" x14ac:dyDescent="0.25">
      <c r="A3937" s="1"/>
      <c r="H3937" s="2"/>
    </row>
    <row r="3938" spans="1:8" x14ac:dyDescent="0.25">
      <c r="A3938" s="1"/>
      <c r="H3938" s="2"/>
    </row>
    <row r="3939" spans="1:8" x14ac:dyDescent="0.25">
      <c r="A3939" s="1"/>
      <c r="H3939" s="2"/>
    </row>
    <row r="3940" spans="1:8" x14ac:dyDescent="0.25">
      <c r="A3940" s="1"/>
      <c r="H3940" s="2"/>
    </row>
    <row r="3941" spans="1:8" x14ac:dyDescent="0.25">
      <c r="A3941" s="1"/>
      <c r="H3941" s="2"/>
    </row>
    <row r="3942" spans="1:8" x14ac:dyDescent="0.25">
      <c r="A3942" s="1"/>
      <c r="H3942" s="2"/>
    </row>
    <row r="3943" spans="1:8" x14ac:dyDescent="0.25">
      <c r="A3943" s="1"/>
      <c r="H3943" s="2"/>
    </row>
    <row r="3944" spans="1:8" x14ac:dyDescent="0.25">
      <c r="A3944" s="1"/>
      <c r="H3944" s="2"/>
    </row>
    <row r="3945" spans="1:8" x14ac:dyDescent="0.25">
      <c r="A3945" s="1"/>
      <c r="H3945" s="2"/>
    </row>
    <row r="3946" spans="1:8" x14ac:dyDescent="0.25">
      <c r="A3946" s="1"/>
      <c r="H3946" s="2"/>
    </row>
    <row r="3947" spans="1:8" x14ac:dyDescent="0.25">
      <c r="A3947" s="1"/>
      <c r="H3947" s="2"/>
    </row>
    <row r="3948" spans="1:8" x14ac:dyDescent="0.25">
      <c r="A3948" s="1"/>
      <c r="H3948" s="2"/>
    </row>
    <row r="3949" spans="1:8" x14ac:dyDescent="0.25">
      <c r="A3949" s="1"/>
      <c r="H3949" s="2"/>
    </row>
    <row r="3950" spans="1:8" x14ac:dyDescent="0.25">
      <c r="A3950" s="1"/>
      <c r="H3950" s="2"/>
    </row>
    <row r="3951" spans="1:8" x14ac:dyDescent="0.25">
      <c r="A3951" s="1"/>
      <c r="H3951" s="2"/>
    </row>
    <row r="3952" spans="1:8" x14ac:dyDescent="0.25">
      <c r="A3952" s="1"/>
      <c r="H3952" s="2"/>
    </row>
    <row r="3953" spans="1:8" x14ac:dyDescent="0.25">
      <c r="A3953" s="1"/>
      <c r="H3953" s="2"/>
    </row>
    <row r="3954" spans="1:8" x14ac:dyDescent="0.25">
      <c r="A3954" s="1"/>
      <c r="H3954" s="2"/>
    </row>
    <row r="3955" spans="1:8" x14ac:dyDescent="0.25">
      <c r="A3955" s="1"/>
      <c r="H3955" s="2"/>
    </row>
    <row r="3956" spans="1:8" x14ac:dyDescent="0.25">
      <c r="A3956" s="1"/>
      <c r="H3956" s="2"/>
    </row>
    <row r="3957" spans="1:8" x14ac:dyDescent="0.25">
      <c r="A3957" s="1"/>
      <c r="H3957" s="2"/>
    </row>
    <row r="3958" spans="1:8" x14ac:dyDescent="0.25">
      <c r="A3958" s="1"/>
      <c r="H3958" s="2"/>
    </row>
    <row r="3959" spans="1:8" x14ac:dyDescent="0.25">
      <c r="A3959" s="1"/>
      <c r="H3959" s="2"/>
    </row>
    <row r="3960" spans="1:8" x14ac:dyDescent="0.25">
      <c r="A3960" s="1"/>
      <c r="H3960" s="2"/>
    </row>
    <row r="3961" spans="1:8" x14ac:dyDescent="0.25">
      <c r="A3961" s="1"/>
      <c r="H3961" s="2"/>
    </row>
    <row r="3962" spans="1:8" x14ac:dyDescent="0.25">
      <c r="A3962" s="1"/>
      <c r="H3962" s="2"/>
    </row>
    <row r="3963" spans="1:8" x14ac:dyDescent="0.25">
      <c r="A3963" s="1"/>
      <c r="H3963" s="2"/>
    </row>
    <row r="3964" spans="1:8" x14ac:dyDescent="0.25">
      <c r="A3964" s="1"/>
      <c r="H3964" s="2"/>
    </row>
    <row r="3965" spans="1:8" x14ac:dyDescent="0.25">
      <c r="A3965" s="1"/>
      <c r="H3965" s="2"/>
    </row>
    <row r="3966" spans="1:8" x14ac:dyDescent="0.25">
      <c r="A3966" s="1"/>
      <c r="H3966" s="2"/>
    </row>
    <row r="3967" spans="1:8" x14ac:dyDescent="0.25">
      <c r="A3967" s="1"/>
      <c r="H3967" s="2"/>
    </row>
    <row r="3968" spans="1:8" x14ac:dyDescent="0.25">
      <c r="A3968" s="1"/>
      <c r="H3968" s="2"/>
    </row>
    <row r="3969" spans="1:8" x14ac:dyDescent="0.25">
      <c r="A3969" s="1"/>
      <c r="H3969" s="2"/>
    </row>
    <row r="3970" spans="1:8" x14ac:dyDescent="0.25">
      <c r="A3970" s="1"/>
      <c r="H3970" s="2"/>
    </row>
    <row r="3971" spans="1:8" x14ac:dyDescent="0.25">
      <c r="A3971" s="1"/>
      <c r="H3971" s="2"/>
    </row>
    <row r="3972" spans="1:8" x14ac:dyDescent="0.25">
      <c r="A3972" s="1"/>
      <c r="H3972" s="2"/>
    </row>
    <row r="3973" spans="1:8" x14ac:dyDescent="0.25">
      <c r="A3973" s="1"/>
      <c r="H3973" s="2"/>
    </row>
    <row r="3974" spans="1:8" x14ac:dyDescent="0.25">
      <c r="A3974" s="1"/>
      <c r="H3974" s="2"/>
    </row>
    <row r="3975" spans="1:8" x14ac:dyDescent="0.25">
      <c r="A3975" s="1"/>
      <c r="H3975" s="2"/>
    </row>
    <row r="3976" spans="1:8" x14ac:dyDescent="0.25">
      <c r="A3976" s="1"/>
      <c r="H3976" s="2"/>
    </row>
    <row r="3977" spans="1:8" x14ac:dyDescent="0.25">
      <c r="A3977" s="1"/>
      <c r="H3977" s="2"/>
    </row>
    <row r="3978" spans="1:8" x14ac:dyDescent="0.25">
      <c r="A3978" s="1"/>
      <c r="H3978" s="2"/>
    </row>
    <row r="3979" spans="1:8" x14ac:dyDescent="0.25">
      <c r="A3979" s="1"/>
      <c r="H3979" s="2"/>
    </row>
    <row r="3980" spans="1:8" x14ac:dyDescent="0.25">
      <c r="A3980" s="1"/>
      <c r="H3980" s="2"/>
    </row>
    <row r="3981" spans="1:8" x14ac:dyDescent="0.25">
      <c r="A3981" s="1"/>
      <c r="H3981" s="2"/>
    </row>
    <row r="3982" spans="1:8" x14ac:dyDescent="0.25">
      <c r="A3982" s="1"/>
      <c r="H3982" s="2"/>
    </row>
    <row r="3983" spans="1:8" x14ac:dyDescent="0.25">
      <c r="A3983" s="1"/>
      <c r="H3983" s="2"/>
    </row>
    <row r="3984" spans="1:8" x14ac:dyDescent="0.25">
      <c r="A3984" s="1"/>
      <c r="H3984" s="2"/>
    </row>
    <row r="3985" spans="1:8" x14ac:dyDescent="0.25">
      <c r="A3985" s="1"/>
      <c r="H3985" s="2"/>
    </row>
    <row r="3986" spans="1:8" x14ac:dyDescent="0.25">
      <c r="A3986" s="1"/>
      <c r="H3986" s="2"/>
    </row>
    <row r="3987" spans="1:8" x14ac:dyDescent="0.25">
      <c r="A3987" s="1"/>
      <c r="H3987" s="2"/>
    </row>
    <row r="3988" spans="1:8" x14ac:dyDescent="0.25">
      <c r="A3988" s="1"/>
      <c r="H3988" s="2"/>
    </row>
    <row r="3989" spans="1:8" x14ac:dyDescent="0.25">
      <c r="A3989" s="1"/>
      <c r="H3989" s="2"/>
    </row>
    <row r="3990" spans="1:8" x14ac:dyDescent="0.25">
      <c r="A3990" s="1"/>
      <c r="H3990" s="2"/>
    </row>
    <row r="3991" spans="1:8" x14ac:dyDescent="0.25">
      <c r="A3991" s="1"/>
      <c r="H3991" s="2"/>
    </row>
    <row r="3992" spans="1:8" x14ac:dyDescent="0.25">
      <c r="A3992" s="1"/>
      <c r="H3992" s="2"/>
    </row>
    <row r="3993" spans="1:8" x14ac:dyDescent="0.25">
      <c r="A3993" s="1"/>
      <c r="H3993" s="2"/>
    </row>
    <row r="3994" spans="1:8" x14ac:dyDescent="0.25">
      <c r="A3994" s="1"/>
      <c r="H3994" s="2"/>
    </row>
    <row r="3995" spans="1:8" x14ac:dyDescent="0.25">
      <c r="A3995" s="1"/>
      <c r="H3995" s="2"/>
    </row>
    <row r="3996" spans="1:8" x14ac:dyDescent="0.25">
      <c r="A3996" s="1"/>
      <c r="H3996" s="2"/>
    </row>
    <row r="3997" spans="1:8" x14ac:dyDescent="0.25">
      <c r="A3997" s="1"/>
      <c r="H3997" s="2"/>
    </row>
    <row r="3998" spans="1:8" x14ac:dyDescent="0.25">
      <c r="A3998" s="1"/>
      <c r="H3998" s="2"/>
    </row>
    <row r="3999" spans="1:8" x14ac:dyDescent="0.25">
      <c r="A3999" s="1"/>
      <c r="H3999" s="2"/>
    </row>
    <row r="4000" spans="1:8" x14ac:dyDescent="0.25">
      <c r="A4000" s="1"/>
      <c r="H4000" s="2"/>
    </row>
    <row r="4001" spans="1:8" x14ac:dyDescent="0.25">
      <c r="A4001" s="1"/>
      <c r="H4001" s="2"/>
    </row>
    <row r="4002" spans="1:8" x14ac:dyDescent="0.25">
      <c r="A4002" s="1"/>
      <c r="H4002" s="2"/>
    </row>
    <row r="4003" spans="1:8" x14ac:dyDescent="0.25">
      <c r="A4003" s="1"/>
      <c r="H4003" s="2"/>
    </row>
    <row r="4004" spans="1:8" x14ac:dyDescent="0.25">
      <c r="A4004" s="1"/>
      <c r="H4004" s="2"/>
    </row>
    <row r="4005" spans="1:8" x14ac:dyDescent="0.25">
      <c r="A4005" s="1"/>
      <c r="H4005" s="2"/>
    </row>
    <row r="4006" spans="1:8" x14ac:dyDescent="0.25">
      <c r="A4006" s="1"/>
      <c r="H4006" s="2"/>
    </row>
    <row r="4007" spans="1:8" x14ac:dyDescent="0.25">
      <c r="A4007" s="1"/>
      <c r="H4007" s="2"/>
    </row>
    <row r="4008" spans="1:8" x14ac:dyDescent="0.25">
      <c r="A4008" s="1"/>
      <c r="H4008" s="2"/>
    </row>
    <row r="4009" spans="1:8" x14ac:dyDescent="0.25">
      <c r="A4009" s="1"/>
      <c r="H4009" s="2"/>
    </row>
    <row r="4010" spans="1:8" x14ac:dyDescent="0.25">
      <c r="A4010" s="1"/>
      <c r="H4010" s="2"/>
    </row>
    <row r="4011" spans="1:8" x14ac:dyDescent="0.25">
      <c r="A4011" s="1"/>
      <c r="H4011" s="2"/>
    </row>
    <row r="4012" spans="1:8" x14ac:dyDescent="0.25">
      <c r="A4012" s="1"/>
      <c r="H4012" s="2"/>
    </row>
    <row r="4013" spans="1:8" x14ac:dyDescent="0.25">
      <c r="A4013" s="1"/>
      <c r="H4013" s="2"/>
    </row>
    <row r="4014" spans="1:8" x14ac:dyDescent="0.25">
      <c r="A4014" s="1"/>
      <c r="H4014" s="2"/>
    </row>
    <row r="4015" spans="1:8" x14ac:dyDescent="0.25">
      <c r="A4015" s="1"/>
      <c r="H4015" s="2"/>
    </row>
    <row r="4016" spans="1:8" x14ac:dyDescent="0.25">
      <c r="A4016" s="1"/>
      <c r="H4016" s="2"/>
    </row>
    <row r="4017" spans="1:8" x14ac:dyDescent="0.25">
      <c r="A4017" s="1"/>
      <c r="H4017" s="2"/>
    </row>
    <row r="4018" spans="1:8" x14ac:dyDescent="0.25">
      <c r="A4018" s="1"/>
      <c r="H4018" s="2"/>
    </row>
    <row r="4019" spans="1:8" x14ac:dyDescent="0.25">
      <c r="A4019" s="1"/>
      <c r="H4019" s="2"/>
    </row>
    <row r="4020" spans="1:8" x14ac:dyDescent="0.25">
      <c r="A4020" s="1"/>
      <c r="H4020" s="2"/>
    </row>
    <row r="4021" spans="1:8" x14ac:dyDescent="0.25">
      <c r="A4021" s="1"/>
      <c r="H4021" s="2"/>
    </row>
    <row r="4022" spans="1:8" x14ac:dyDescent="0.25">
      <c r="A4022" s="1"/>
      <c r="H4022" s="2"/>
    </row>
    <row r="4023" spans="1:8" x14ac:dyDescent="0.25">
      <c r="A4023" s="1"/>
      <c r="H4023" s="2"/>
    </row>
    <row r="4024" spans="1:8" x14ac:dyDescent="0.25">
      <c r="A4024" s="1"/>
      <c r="H4024" s="2"/>
    </row>
    <row r="4025" spans="1:8" x14ac:dyDescent="0.25">
      <c r="A4025" s="1"/>
      <c r="H4025" s="2"/>
    </row>
    <row r="4026" spans="1:8" x14ac:dyDescent="0.25">
      <c r="A4026" s="1"/>
      <c r="H4026" s="2"/>
    </row>
    <row r="4027" spans="1:8" x14ac:dyDescent="0.25">
      <c r="A4027" s="1"/>
      <c r="H4027" s="2"/>
    </row>
    <row r="4028" spans="1:8" x14ac:dyDescent="0.25">
      <c r="A4028" s="1"/>
      <c r="H4028" s="2"/>
    </row>
    <row r="4029" spans="1:8" x14ac:dyDescent="0.25">
      <c r="A4029" s="1"/>
      <c r="H4029" s="2"/>
    </row>
    <row r="4030" spans="1:8" x14ac:dyDescent="0.25">
      <c r="A4030" s="1"/>
      <c r="H4030" s="2"/>
    </row>
    <row r="4031" spans="1:8" x14ac:dyDescent="0.25">
      <c r="A4031" s="1"/>
      <c r="H4031" s="2"/>
    </row>
    <row r="4032" spans="1:8" x14ac:dyDescent="0.25">
      <c r="A4032" s="1"/>
      <c r="H4032" s="2"/>
    </row>
    <row r="4033" spans="1:8" x14ac:dyDescent="0.25">
      <c r="A4033" s="1"/>
      <c r="H4033" s="2"/>
    </row>
    <row r="4034" spans="1:8" x14ac:dyDescent="0.25">
      <c r="A4034" s="1"/>
      <c r="H4034" s="2"/>
    </row>
    <row r="4035" spans="1:8" x14ac:dyDescent="0.25">
      <c r="A4035" s="1"/>
      <c r="H4035" s="2"/>
    </row>
    <row r="4036" spans="1:8" x14ac:dyDescent="0.25">
      <c r="A4036" s="1"/>
      <c r="H4036" s="2"/>
    </row>
    <row r="4037" spans="1:8" x14ac:dyDescent="0.25">
      <c r="A4037" s="1"/>
      <c r="H4037" s="2"/>
    </row>
    <row r="4038" spans="1:8" x14ac:dyDescent="0.25">
      <c r="A4038" s="1"/>
      <c r="H4038" s="2"/>
    </row>
    <row r="4039" spans="1:8" x14ac:dyDescent="0.25">
      <c r="A4039" s="1"/>
      <c r="H4039" s="2"/>
    </row>
    <row r="4040" spans="1:8" x14ac:dyDescent="0.25">
      <c r="A4040" s="1"/>
      <c r="H4040" s="2"/>
    </row>
    <row r="4041" spans="1:8" x14ac:dyDescent="0.25">
      <c r="A4041" s="1"/>
      <c r="H4041" s="2"/>
    </row>
    <row r="4042" spans="1:8" x14ac:dyDescent="0.25">
      <c r="A4042" s="1"/>
      <c r="H4042" s="2"/>
    </row>
    <row r="4043" spans="1:8" x14ac:dyDescent="0.25">
      <c r="A4043" s="1"/>
      <c r="H4043" s="2"/>
    </row>
    <row r="4044" spans="1:8" x14ac:dyDescent="0.25">
      <c r="A4044" s="1"/>
      <c r="H4044" s="2"/>
    </row>
    <row r="4045" spans="1:8" x14ac:dyDescent="0.25">
      <c r="A4045" s="1"/>
      <c r="H4045" s="2"/>
    </row>
    <row r="4046" spans="1:8" x14ac:dyDescent="0.25">
      <c r="A4046" s="1"/>
      <c r="H4046" s="2"/>
    </row>
    <row r="4047" spans="1:8" x14ac:dyDescent="0.25">
      <c r="A4047" s="1"/>
      <c r="H4047" s="2"/>
    </row>
    <row r="4048" spans="1:8" x14ac:dyDescent="0.25">
      <c r="A4048" s="1"/>
      <c r="H4048" s="2"/>
    </row>
    <row r="4049" spans="1:8" x14ac:dyDescent="0.25">
      <c r="A4049" s="1"/>
      <c r="H4049" s="2"/>
    </row>
    <row r="4050" spans="1:8" x14ac:dyDescent="0.25">
      <c r="A4050" s="1"/>
      <c r="H4050" s="2"/>
    </row>
    <row r="4051" spans="1:8" x14ac:dyDescent="0.25">
      <c r="A4051" s="1"/>
      <c r="H4051" s="2"/>
    </row>
    <row r="4052" spans="1:8" x14ac:dyDescent="0.25">
      <c r="A4052" s="1"/>
      <c r="H4052" s="2"/>
    </row>
    <row r="4053" spans="1:8" x14ac:dyDescent="0.25">
      <c r="A4053" s="1"/>
      <c r="H4053" s="2"/>
    </row>
    <row r="4054" spans="1:8" x14ac:dyDescent="0.25">
      <c r="A4054" s="1"/>
      <c r="H4054" s="2"/>
    </row>
    <row r="4055" spans="1:8" x14ac:dyDescent="0.25">
      <c r="A4055" s="1"/>
      <c r="H4055" s="2"/>
    </row>
    <row r="4056" spans="1:8" x14ac:dyDescent="0.25">
      <c r="A4056" s="1"/>
      <c r="H4056" s="2"/>
    </row>
    <row r="4057" spans="1:8" x14ac:dyDescent="0.25">
      <c r="A4057" s="1"/>
      <c r="H4057" s="2"/>
    </row>
    <row r="4058" spans="1:8" x14ac:dyDescent="0.25">
      <c r="A4058" s="1"/>
      <c r="H4058" s="2"/>
    </row>
    <row r="4059" spans="1:8" x14ac:dyDescent="0.25">
      <c r="A4059" s="1"/>
      <c r="H4059" s="2"/>
    </row>
    <row r="4060" spans="1:8" x14ac:dyDescent="0.25">
      <c r="A4060" s="1"/>
      <c r="H4060" s="2"/>
    </row>
    <row r="4061" spans="1:8" x14ac:dyDescent="0.25">
      <c r="A4061" s="1"/>
      <c r="H4061" s="2"/>
    </row>
    <row r="4062" spans="1:8" x14ac:dyDescent="0.25">
      <c r="A4062" s="1"/>
      <c r="H4062" s="2"/>
    </row>
    <row r="4063" spans="1:8" x14ac:dyDescent="0.25">
      <c r="A4063" s="1"/>
      <c r="H4063" s="2"/>
    </row>
    <row r="4064" spans="1:8" x14ac:dyDescent="0.25">
      <c r="A4064" s="1"/>
      <c r="H4064" s="2"/>
    </row>
    <row r="4065" spans="1:8" x14ac:dyDescent="0.25">
      <c r="A4065" s="1"/>
      <c r="H4065" s="2"/>
    </row>
    <row r="4066" spans="1:8" x14ac:dyDescent="0.25">
      <c r="A4066" s="1"/>
      <c r="H4066" s="2"/>
    </row>
    <row r="4067" spans="1:8" x14ac:dyDescent="0.25">
      <c r="A4067" s="1"/>
      <c r="H4067" s="2"/>
    </row>
    <row r="4068" spans="1:8" x14ac:dyDescent="0.25">
      <c r="A4068" s="1"/>
      <c r="H4068" s="2"/>
    </row>
    <row r="4069" spans="1:8" x14ac:dyDescent="0.25">
      <c r="A4069" s="1"/>
      <c r="H4069" s="2"/>
    </row>
    <row r="4070" spans="1:8" x14ac:dyDescent="0.25">
      <c r="A4070" s="1"/>
      <c r="H4070" s="2"/>
    </row>
    <row r="4071" spans="1:8" x14ac:dyDescent="0.25">
      <c r="A4071" s="1"/>
      <c r="H4071" s="2"/>
    </row>
    <row r="4072" spans="1:8" x14ac:dyDescent="0.25">
      <c r="A4072" s="1"/>
      <c r="H4072" s="2"/>
    </row>
    <row r="4073" spans="1:8" x14ac:dyDescent="0.25">
      <c r="A4073" s="1"/>
      <c r="H4073" s="2"/>
    </row>
    <row r="4074" spans="1:8" x14ac:dyDescent="0.25">
      <c r="A4074" s="1"/>
      <c r="H4074" s="2"/>
    </row>
    <row r="4075" spans="1:8" x14ac:dyDescent="0.25">
      <c r="A4075" s="1"/>
      <c r="H4075" s="2"/>
    </row>
    <row r="4076" spans="1:8" x14ac:dyDescent="0.25">
      <c r="A4076" s="1"/>
      <c r="H4076" s="2"/>
    </row>
    <row r="4077" spans="1:8" x14ac:dyDescent="0.25">
      <c r="A4077" s="1"/>
      <c r="H4077" s="2"/>
    </row>
    <row r="4078" spans="1:8" x14ac:dyDescent="0.25">
      <c r="A4078" s="1"/>
      <c r="H4078" s="2"/>
    </row>
    <row r="4079" spans="1:8" x14ac:dyDescent="0.25">
      <c r="A4079" s="1"/>
      <c r="H4079" s="2"/>
    </row>
    <row r="4080" spans="1:8" x14ac:dyDescent="0.25">
      <c r="A4080" s="1"/>
      <c r="H4080" s="2"/>
    </row>
    <row r="4081" spans="1:8" x14ac:dyDescent="0.25">
      <c r="A4081" s="1"/>
      <c r="H4081" s="2"/>
    </row>
    <row r="4082" spans="1:8" x14ac:dyDescent="0.25">
      <c r="A4082" s="1"/>
      <c r="H4082" s="2"/>
    </row>
    <row r="4083" spans="1:8" x14ac:dyDescent="0.25">
      <c r="A4083" s="1"/>
      <c r="H4083" s="2"/>
    </row>
    <row r="4084" spans="1:8" x14ac:dyDescent="0.25">
      <c r="A4084" s="1"/>
      <c r="H4084" s="2"/>
    </row>
    <row r="4085" spans="1:8" x14ac:dyDescent="0.25">
      <c r="A4085" s="1"/>
      <c r="H4085" s="2"/>
    </row>
    <row r="4086" spans="1:8" x14ac:dyDescent="0.25">
      <c r="A4086" s="1"/>
      <c r="H4086" s="2"/>
    </row>
    <row r="4087" spans="1:8" x14ac:dyDescent="0.25">
      <c r="A4087" s="1"/>
      <c r="H4087" s="2"/>
    </row>
    <row r="4088" spans="1:8" x14ac:dyDescent="0.25">
      <c r="A4088" s="1"/>
      <c r="H4088" s="2"/>
    </row>
    <row r="4089" spans="1:8" x14ac:dyDescent="0.25">
      <c r="A4089" s="1"/>
      <c r="H4089" s="2"/>
    </row>
    <row r="4090" spans="1:8" x14ac:dyDescent="0.25">
      <c r="A4090" s="1"/>
      <c r="H4090" s="2"/>
    </row>
    <row r="4091" spans="1:8" x14ac:dyDescent="0.25">
      <c r="A4091" s="1"/>
      <c r="H4091" s="2"/>
    </row>
    <row r="4092" spans="1:8" x14ac:dyDescent="0.25">
      <c r="A4092" s="1"/>
      <c r="H4092" s="2"/>
    </row>
    <row r="4093" spans="1:8" x14ac:dyDescent="0.25">
      <c r="A4093" s="1"/>
      <c r="H4093" s="2"/>
    </row>
    <row r="4094" spans="1:8" x14ac:dyDescent="0.25">
      <c r="A4094" s="1"/>
      <c r="H4094" s="2"/>
    </row>
    <row r="4095" spans="1:8" x14ac:dyDescent="0.25">
      <c r="A4095" s="1"/>
      <c r="H4095" s="2"/>
    </row>
    <row r="4096" spans="1:8" x14ac:dyDescent="0.25">
      <c r="A4096" s="1"/>
      <c r="H4096" s="2"/>
    </row>
    <row r="4097" spans="1:8" x14ac:dyDescent="0.25">
      <c r="A4097" s="1"/>
      <c r="H4097" s="2"/>
    </row>
    <row r="4098" spans="1:8" x14ac:dyDescent="0.25">
      <c r="A4098" s="1"/>
      <c r="H4098" s="2"/>
    </row>
    <row r="4099" spans="1:8" x14ac:dyDescent="0.25">
      <c r="A4099" s="1"/>
      <c r="H4099" s="2"/>
    </row>
    <row r="4100" spans="1:8" x14ac:dyDescent="0.25">
      <c r="A4100" s="1"/>
      <c r="H4100" s="2"/>
    </row>
    <row r="4101" spans="1:8" x14ac:dyDescent="0.25">
      <c r="A4101" s="1"/>
      <c r="H4101" s="2"/>
    </row>
    <row r="4102" spans="1:8" x14ac:dyDescent="0.25">
      <c r="A4102" s="1"/>
      <c r="H4102" s="2"/>
    </row>
    <row r="4103" spans="1:8" x14ac:dyDescent="0.25">
      <c r="A4103" s="1"/>
      <c r="H4103" s="2"/>
    </row>
    <row r="4104" spans="1:8" x14ac:dyDescent="0.25">
      <c r="A4104" s="1"/>
      <c r="H4104" s="2"/>
    </row>
    <row r="4105" spans="1:8" x14ac:dyDescent="0.25">
      <c r="A4105" s="1"/>
      <c r="H4105" s="2"/>
    </row>
    <row r="4106" spans="1:8" x14ac:dyDescent="0.25">
      <c r="A4106" s="1"/>
      <c r="H4106" s="2"/>
    </row>
    <row r="4107" spans="1:8" x14ac:dyDescent="0.25">
      <c r="A4107" s="1"/>
      <c r="H4107" s="2"/>
    </row>
    <row r="4108" spans="1:8" x14ac:dyDescent="0.25">
      <c r="A4108" s="1"/>
      <c r="H4108" s="2"/>
    </row>
    <row r="4109" spans="1:8" x14ac:dyDescent="0.25">
      <c r="A4109" s="1"/>
      <c r="H4109" s="2"/>
    </row>
    <row r="4110" spans="1:8" x14ac:dyDescent="0.25">
      <c r="A4110" s="1"/>
      <c r="H4110" s="2"/>
    </row>
    <row r="4111" spans="1:8" x14ac:dyDescent="0.25">
      <c r="A4111" s="1"/>
      <c r="H4111" s="2"/>
    </row>
    <row r="4112" spans="1:8" x14ac:dyDescent="0.25">
      <c r="A4112" s="1"/>
      <c r="H4112" s="2"/>
    </row>
    <row r="4113" spans="1:8" x14ac:dyDescent="0.25">
      <c r="A4113" s="1"/>
      <c r="H4113" s="2"/>
    </row>
    <row r="4114" spans="1:8" x14ac:dyDescent="0.25">
      <c r="A4114" s="1"/>
      <c r="H4114" s="2"/>
    </row>
    <row r="4115" spans="1:8" x14ac:dyDescent="0.25">
      <c r="A4115" s="1"/>
      <c r="H4115" s="2"/>
    </row>
    <row r="4116" spans="1:8" x14ac:dyDescent="0.25">
      <c r="A4116" s="1"/>
      <c r="H4116" s="2"/>
    </row>
    <row r="4117" spans="1:8" x14ac:dyDescent="0.25">
      <c r="A4117" s="1"/>
      <c r="H4117" s="2"/>
    </row>
    <row r="4118" spans="1:8" x14ac:dyDescent="0.25">
      <c r="A4118" s="1"/>
      <c r="H4118" s="2"/>
    </row>
    <row r="4119" spans="1:8" x14ac:dyDescent="0.25">
      <c r="A4119" s="1"/>
      <c r="H4119" s="2"/>
    </row>
    <row r="4120" spans="1:8" x14ac:dyDescent="0.25">
      <c r="A4120" s="1"/>
      <c r="H4120" s="2"/>
    </row>
    <row r="4121" spans="1:8" x14ac:dyDescent="0.25">
      <c r="A4121" s="1"/>
      <c r="H4121" s="2"/>
    </row>
    <row r="4122" spans="1:8" x14ac:dyDescent="0.25">
      <c r="A4122" s="1"/>
      <c r="H4122" s="2"/>
    </row>
    <row r="4123" spans="1:8" x14ac:dyDescent="0.25">
      <c r="A4123" s="1"/>
      <c r="H4123" s="2"/>
    </row>
    <row r="4124" spans="1:8" x14ac:dyDescent="0.25">
      <c r="A4124" s="1"/>
      <c r="H4124" s="2"/>
    </row>
    <row r="4125" spans="1:8" x14ac:dyDescent="0.25">
      <c r="A4125" s="1"/>
      <c r="H4125" s="2"/>
    </row>
    <row r="4126" spans="1:8" x14ac:dyDescent="0.25">
      <c r="A4126" s="1"/>
      <c r="H4126" s="2"/>
    </row>
    <row r="4127" spans="1:8" x14ac:dyDescent="0.25">
      <c r="A4127" s="1"/>
      <c r="H4127" s="2"/>
    </row>
    <row r="4128" spans="1:8" x14ac:dyDescent="0.25">
      <c r="A4128" s="1"/>
      <c r="H4128" s="2"/>
    </row>
    <row r="4129" spans="1:8" x14ac:dyDescent="0.25">
      <c r="A4129" s="1"/>
      <c r="H4129" s="2"/>
    </row>
    <row r="4130" spans="1:8" x14ac:dyDescent="0.25">
      <c r="A4130" s="1"/>
      <c r="H4130" s="2"/>
    </row>
    <row r="4131" spans="1:8" x14ac:dyDescent="0.25">
      <c r="A4131" s="1"/>
      <c r="H4131" s="2"/>
    </row>
    <row r="4132" spans="1:8" x14ac:dyDescent="0.25">
      <c r="A4132" s="1"/>
      <c r="H4132" s="2"/>
    </row>
    <row r="4133" spans="1:8" x14ac:dyDescent="0.25">
      <c r="A4133" s="1"/>
      <c r="H4133" s="2"/>
    </row>
    <row r="4134" spans="1:8" x14ac:dyDescent="0.25">
      <c r="A4134" s="1"/>
      <c r="H4134" s="2"/>
    </row>
    <row r="4135" spans="1:8" x14ac:dyDescent="0.25">
      <c r="A4135" s="1"/>
      <c r="H4135" s="2"/>
    </row>
    <row r="4136" spans="1:8" x14ac:dyDescent="0.25">
      <c r="A4136" s="1"/>
      <c r="H4136" s="2"/>
    </row>
    <row r="4137" spans="1:8" x14ac:dyDescent="0.25">
      <c r="A4137" s="1"/>
      <c r="H4137" s="2"/>
    </row>
    <row r="4138" spans="1:8" x14ac:dyDescent="0.25">
      <c r="A4138" s="1"/>
      <c r="H4138" s="2"/>
    </row>
    <row r="4139" spans="1:8" x14ac:dyDescent="0.25">
      <c r="A4139" s="1"/>
      <c r="H4139" s="2"/>
    </row>
    <row r="4140" spans="1:8" x14ac:dyDescent="0.25">
      <c r="A4140" s="1"/>
      <c r="H4140" s="2"/>
    </row>
    <row r="4141" spans="1:8" x14ac:dyDescent="0.25">
      <c r="A4141" s="1"/>
      <c r="H4141" s="2"/>
    </row>
    <row r="4142" spans="1:8" x14ac:dyDescent="0.25">
      <c r="A4142" s="1"/>
      <c r="H4142" s="2"/>
    </row>
    <row r="4143" spans="1:8" x14ac:dyDescent="0.25">
      <c r="A4143" s="1"/>
      <c r="H4143" s="2"/>
    </row>
    <row r="4144" spans="1:8" x14ac:dyDescent="0.25">
      <c r="A4144" s="1"/>
      <c r="H4144" s="2"/>
    </row>
    <row r="4145" spans="1:8" x14ac:dyDescent="0.25">
      <c r="A4145" s="1"/>
      <c r="H4145" s="2"/>
    </row>
    <row r="4146" spans="1:8" x14ac:dyDescent="0.25">
      <c r="A4146" s="1"/>
      <c r="H4146" s="2"/>
    </row>
    <row r="4147" spans="1:8" x14ac:dyDescent="0.25">
      <c r="A4147" s="1"/>
      <c r="H4147" s="2"/>
    </row>
    <row r="4148" spans="1:8" x14ac:dyDescent="0.25">
      <c r="A4148" s="1"/>
      <c r="H4148" s="2"/>
    </row>
    <row r="4149" spans="1:8" x14ac:dyDescent="0.25">
      <c r="A4149" s="1"/>
      <c r="H4149" s="2"/>
    </row>
    <row r="4150" spans="1:8" x14ac:dyDescent="0.25">
      <c r="A4150" s="1"/>
      <c r="H4150" s="2"/>
    </row>
    <row r="4151" spans="1:8" x14ac:dyDescent="0.25">
      <c r="A4151" s="1"/>
      <c r="H4151" s="2"/>
    </row>
    <row r="4152" spans="1:8" x14ac:dyDescent="0.25">
      <c r="A4152" s="1"/>
      <c r="H4152" s="2"/>
    </row>
    <row r="4153" spans="1:8" x14ac:dyDescent="0.25">
      <c r="A4153" s="1"/>
      <c r="H4153" s="2"/>
    </row>
    <row r="4154" spans="1:8" x14ac:dyDescent="0.25">
      <c r="A4154" s="1"/>
      <c r="H4154" s="2"/>
    </row>
    <row r="4155" spans="1:8" x14ac:dyDescent="0.25">
      <c r="A4155" s="1"/>
      <c r="H4155" s="2"/>
    </row>
    <row r="4156" spans="1:8" x14ac:dyDescent="0.25">
      <c r="A4156" s="1"/>
      <c r="H4156" s="2"/>
    </row>
    <row r="4157" spans="1:8" x14ac:dyDescent="0.25">
      <c r="A4157" s="1"/>
      <c r="H4157" s="2"/>
    </row>
    <row r="4158" spans="1:8" x14ac:dyDescent="0.25">
      <c r="A4158" s="1"/>
      <c r="H4158" s="2"/>
    </row>
    <row r="4159" spans="1:8" x14ac:dyDescent="0.25">
      <c r="A4159" s="1"/>
      <c r="H4159" s="2"/>
    </row>
    <row r="4160" spans="1:8" x14ac:dyDescent="0.25">
      <c r="A4160" s="1"/>
      <c r="H4160" s="2"/>
    </row>
    <row r="4161" spans="1:8" x14ac:dyDescent="0.25">
      <c r="A4161" s="1"/>
      <c r="H4161" s="2"/>
    </row>
    <row r="4162" spans="1:8" x14ac:dyDescent="0.25">
      <c r="A4162" s="1"/>
      <c r="H4162" s="2"/>
    </row>
    <row r="4163" spans="1:8" x14ac:dyDescent="0.25">
      <c r="A4163" s="1"/>
      <c r="H4163" s="2"/>
    </row>
    <row r="4164" spans="1:8" x14ac:dyDescent="0.25">
      <c r="A4164" s="1"/>
      <c r="H4164" s="2"/>
    </row>
    <row r="4165" spans="1:8" x14ac:dyDescent="0.25">
      <c r="A4165" s="1"/>
      <c r="H4165" s="2"/>
    </row>
    <row r="4166" spans="1:8" x14ac:dyDescent="0.25">
      <c r="A4166" s="1"/>
      <c r="H4166" s="2"/>
    </row>
    <row r="4167" spans="1:8" x14ac:dyDescent="0.25">
      <c r="A4167" s="1"/>
      <c r="H4167" s="2"/>
    </row>
    <row r="4168" spans="1:8" x14ac:dyDescent="0.25">
      <c r="A4168" s="1"/>
      <c r="H4168" s="2"/>
    </row>
    <row r="4169" spans="1:8" x14ac:dyDescent="0.25">
      <c r="A4169" s="1"/>
      <c r="H4169" s="2"/>
    </row>
    <row r="4170" spans="1:8" x14ac:dyDescent="0.25">
      <c r="A4170" s="1"/>
      <c r="H4170" s="2"/>
    </row>
    <row r="4171" spans="1:8" x14ac:dyDescent="0.25">
      <c r="A4171" s="1"/>
      <c r="H4171" s="2"/>
    </row>
    <row r="4172" spans="1:8" x14ac:dyDescent="0.25">
      <c r="A4172" s="1"/>
      <c r="H4172" s="2"/>
    </row>
    <row r="4173" spans="1:8" x14ac:dyDescent="0.25">
      <c r="A4173" s="1"/>
      <c r="H4173" s="2"/>
    </row>
    <row r="4174" spans="1:8" x14ac:dyDescent="0.25">
      <c r="A4174" s="1"/>
      <c r="H4174" s="2"/>
    </row>
    <row r="4175" spans="1:8" x14ac:dyDescent="0.25">
      <c r="A4175" s="1"/>
      <c r="H4175" s="2"/>
    </row>
    <row r="4176" spans="1:8" x14ac:dyDescent="0.25">
      <c r="A4176" s="1"/>
      <c r="H4176" s="2"/>
    </row>
    <row r="4177" spans="1:8" x14ac:dyDescent="0.25">
      <c r="A4177" s="1"/>
      <c r="H4177" s="2"/>
    </row>
    <row r="4178" spans="1:8" x14ac:dyDescent="0.25">
      <c r="A4178" s="1"/>
      <c r="H4178" s="2"/>
    </row>
    <row r="4179" spans="1:8" x14ac:dyDescent="0.25">
      <c r="A4179" s="1"/>
      <c r="H4179" s="2"/>
    </row>
    <row r="4180" spans="1:8" x14ac:dyDescent="0.25">
      <c r="A4180" s="1"/>
      <c r="H4180" s="2"/>
    </row>
    <row r="4181" spans="1:8" x14ac:dyDescent="0.25">
      <c r="A4181" s="1"/>
      <c r="H4181" s="2"/>
    </row>
    <row r="4182" spans="1:8" x14ac:dyDescent="0.25">
      <c r="A4182" s="1"/>
      <c r="H4182" s="2"/>
    </row>
    <row r="4183" spans="1:8" x14ac:dyDescent="0.25">
      <c r="A4183" s="1"/>
      <c r="H4183" s="2"/>
    </row>
    <row r="4184" spans="1:8" x14ac:dyDescent="0.25">
      <c r="A4184" s="1"/>
      <c r="H4184" s="2"/>
    </row>
    <row r="4185" spans="1:8" x14ac:dyDescent="0.25">
      <c r="A4185" s="1"/>
      <c r="H4185" s="2"/>
    </row>
    <row r="4186" spans="1:8" x14ac:dyDescent="0.25">
      <c r="A4186" s="1"/>
      <c r="H4186" s="2"/>
    </row>
    <row r="4187" spans="1:8" x14ac:dyDescent="0.25">
      <c r="A4187" s="1"/>
      <c r="H4187" s="2"/>
    </row>
    <row r="4188" spans="1:8" x14ac:dyDescent="0.25">
      <c r="A4188" s="1"/>
      <c r="H4188" s="2"/>
    </row>
    <row r="4189" spans="1:8" x14ac:dyDescent="0.25">
      <c r="A4189" s="1"/>
      <c r="H4189" s="2"/>
    </row>
    <row r="4190" spans="1:8" x14ac:dyDescent="0.25">
      <c r="A4190" s="1"/>
      <c r="H4190" s="2"/>
    </row>
    <row r="4191" spans="1:8" x14ac:dyDescent="0.25">
      <c r="A4191" s="1"/>
      <c r="H4191" s="2"/>
    </row>
    <row r="4192" spans="1:8" x14ac:dyDescent="0.25">
      <c r="A4192" s="1"/>
      <c r="H4192" s="2"/>
    </row>
    <row r="4193" spans="1:8" x14ac:dyDescent="0.25">
      <c r="A4193" s="1"/>
      <c r="H4193" s="2"/>
    </row>
    <row r="4194" spans="1:8" x14ac:dyDescent="0.25">
      <c r="A4194" s="1"/>
      <c r="H4194" s="2"/>
    </row>
    <row r="4195" spans="1:8" x14ac:dyDescent="0.25">
      <c r="A4195" s="1"/>
      <c r="H4195" s="2"/>
    </row>
    <row r="4196" spans="1:8" x14ac:dyDescent="0.25">
      <c r="A4196" s="1"/>
      <c r="H4196" s="2"/>
    </row>
    <row r="4197" spans="1:8" x14ac:dyDescent="0.25">
      <c r="A4197" s="1"/>
      <c r="H4197" s="2"/>
    </row>
    <row r="4198" spans="1:8" x14ac:dyDescent="0.25">
      <c r="A4198" s="1"/>
      <c r="H4198" s="2"/>
    </row>
    <row r="4199" spans="1:8" x14ac:dyDescent="0.25">
      <c r="A4199" s="1"/>
      <c r="H4199" s="2"/>
    </row>
    <row r="4200" spans="1:8" x14ac:dyDescent="0.25">
      <c r="A4200" s="1"/>
      <c r="H4200" s="2"/>
    </row>
    <row r="4201" spans="1:8" x14ac:dyDescent="0.25">
      <c r="A4201" s="1"/>
      <c r="H4201" s="2"/>
    </row>
    <row r="4202" spans="1:8" x14ac:dyDescent="0.25">
      <c r="A4202" s="1"/>
      <c r="H4202" s="2"/>
    </row>
    <row r="4203" spans="1:8" x14ac:dyDescent="0.25">
      <c r="A4203" s="1"/>
      <c r="H4203" s="2"/>
    </row>
    <row r="4204" spans="1:8" x14ac:dyDescent="0.25">
      <c r="A4204" s="1"/>
      <c r="H4204" s="2"/>
    </row>
    <row r="4205" spans="1:8" x14ac:dyDescent="0.25">
      <c r="A4205" s="1"/>
      <c r="H4205" s="2"/>
    </row>
    <row r="4206" spans="1:8" x14ac:dyDescent="0.25">
      <c r="A4206" s="1"/>
      <c r="H4206" s="2"/>
    </row>
    <row r="4207" spans="1:8" x14ac:dyDescent="0.25">
      <c r="A4207" s="1"/>
      <c r="H4207" s="2"/>
    </row>
    <row r="4208" spans="1:8" x14ac:dyDescent="0.25">
      <c r="A4208" s="1"/>
      <c r="H4208" s="2"/>
    </row>
    <row r="4209" spans="1:8" x14ac:dyDescent="0.25">
      <c r="A4209" s="1"/>
      <c r="H4209" s="2"/>
    </row>
    <row r="4210" spans="1:8" x14ac:dyDescent="0.25">
      <c r="A4210" s="1"/>
      <c r="H4210" s="2"/>
    </row>
    <row r="4211" spans="1:8" x14ac:dyDescent="0.25">
      <c r="A4211" s="1"/>
      <c r="H4211" s="2"/>
    </row>
    <row r="4212" spans="1:8" x14ac:dyDescent="0.25">
      <c r="A4212" s="1"/>
      <c r="H4212" s="2"/>
    </row>
    <row r="4213" spans="1:8" x14ac:dyDescent="0.25">
      <c r="A4213" s="1"/>
      <c r="H4213" s="2"/>
    </row>
    <row r="4214" spans="1:8" x14ac:dyDescent="0.25">
      <c r="A4214" s="1"/>
      <c r="H4214" s="2"/>
    </row>
    <row r="4215" spans="1:8" x14ac:dyDescent="0.25">
      <c r="A4215" s="1"/>
      <c r="H4215" s="2"/>
    </row>
    <row r="4216" spans="1:8" x14ac:dyDescent="0.25">
      <c r="A4216" s="1"/>
      <c r="H4216" s="2"/>
    </row>
    <row r="4217" spans="1:8" x14ac:dyDescent="0.25">
      <c r="A4217" s="1"/>
      <c r="H4217" s="2"/>
    </row>
    <row r="4218" spans="1:8" x14ac:dyDescent="0.25">
      <c r="A4218" s="1"/>
      <c r="H4218" s="2"/>
    </row>
    <row r="4219" spans="1:8" x14ac:dyDescent="0.25">
      <c r="A4219" s="1"/>
      <c r="H4219" s="2"/>
    </row>
    <row r="4220" spans="1:8" x14ac:dyDescent="0.25">
      <c r="A4220" s="1"/>
      <c r="H4220" s="2"/>
    </row>
    <row r="4221" spans="1:8" x14ac:dyDescent="0.25">
      <c r="A4221" s="1"/>
      <c r="H4221" s="2"/>
    </row>
    <row r="4222" spans="1:8" x14ac:dyDescent="0.25">
      <c r="A4222" s="1"/>
      <c r="H4222" s="2"/>
    </row>
    <row r="4223" spans="1:8" x14ac:dyDescent="0.25">
      <c r="A4223" s="1"/>
      <c r="H4223" s="2"/>
    </row>
    <row r="4224" spans="1:8" x14ac:dyDescent="0.25">
      <c r="A4224" s="1"/>
      <c r="H4224" s="2"/>
    </row>
    <row r="4225" spans="1:8" x14ac:dyDescent="0.25">
      <c r="A4225" s="1"/>
      <c r="H4225" s="2"/>
    </row>
    <row r="4226" spans="1:8" x14ac:dyDescent="0.25">
      <c r="A4226" s="1"/>
      <c r="H4226" s="2"/>
    </row>
    <row r="4227" spans="1:8" x14ac:dyDescent="0.25">
      <c r="A4227" s="1"/>
      <c r="H4227" s="2"/>
    </row>
    <row r="4228" spans="1:8" x14ac:dyDescent="0.25">
      <c r="A4228" s="1"/>
      <c r="H4228" s="2"/>
    </row>
    <row r="4229" spans="1:8" x14ac:dyDescent="0.25">
      <c r="A4229" s="1"/>
      <c r="H4229" s="2"/>
    </row>
    <row r="4230" spans="1:8" x14ac:dyDescent="0.25">
      <c r="A4230" s="1"/>
      <c r="H4230" s="2"/>
    </row>
    <row r="4231" spans="1:8" x14ac:dyDescent="0.25">
      <c r="A4231" s="1"/>
      <c r="H4231" s="2"/>
    </row>
    <row r="4232" spans="1:8" x14ac:dyDescent="0.25">
      <c r="A4232" s="1"/>
      <c r="H4232" s="2"/>
    </row>
    <row r="4233" spans="1:8" x14ac:dyDescent="0.25">
      <c r="A4233" s="1"/>
      <c r="H4233" s="2"/>
    </row>
    <row r="4234" spans="1:8" x14ac:dyDescent="0.25">
      <c r="A4234" s="1"/>
      <c r="H4234" s="2"/>
    </row>
    <row r="4235" spans="1:8" x14ac:dyDescent="0.25">
      <c r="A4235" s="1"/>
      <c r="H4235" s="2"/>
    </row>
    <row r="4236" spans="1:8" x14ac:dyDescent="0.25">
      <c r="A4236" s="1"/>
      <c r="H4236" s="2"/>
    </row>
    <row r="4237" spans="1:8" x14ac:dyDescent="0.25">
      <c r="A4237" s="1"/>
      <c r="H4237" s="2"/>
    </row>
    <row r="4238" spans="1:8" x14ac:dyDescent="0.25">
      <c r="A4238" s="1"/>
      <c r="H4238" s="2"/>
    </row>
    <row r="4239" spans="1:8" x14ac:dyDescent="0.25">
      <c r="A4239" s="1"/>
      <c r="H4239" s="2"/>
    </row>
    <row r="4240" spans="1:8" x14ac:dyDescent="0.25">
      <c r="A4240" s="1"/>
      <c r="H4240" s="2"/>
    </row>
    <row r="4241" spans="1:8" x14ac:dyDescent="0.25">
      <c r="A4241" s="1"/>
      <c r="H4241" s="2"/>
    </row>
    <row r="4242" spans="1:8" x14ac:dyDescent="0.25">
      <c r="A4242" s="1"/>
      <c r="H4242" s="2"/>
    </row>
    <row r="4243" spans="1:8" x14ac:dyDescent="0.25">
      <c r="A4243" s="1"/>
      <c r="H4243" s="2"/>
    </row>
    <row r="4244" spans="1:8" x14ac:dyDescent="0.25">
      <c r="A4244" s="1"/>
      <c r="H4244" s="2"/>
    </row>
    <row r="4245" spans="1:8" x14ac:dyDescent="0.25">
      <c r="A4245" s="1"/>
      <c r="H4245" s="2"/>
    </row>
    <row r="4246" spans="1:8" x14ac:dyDescent="0.25">
      <c r="A4246" s="1"/>
      <c r="H4246" s="2"/>
    </row>
    <row r="4247" spans="1:8" x14ac:dyDescent="0.25">
      <c r="A4247" s="1"/>
      <c r="H4247" s="2"/>
    </row>
    <row r="4248" spans="1:8" x14ac:dyDescent="0.25">
      <c r="A4248" s="1"/>
      <c r="H4248" s="2"/>
    </row>
    <row r="4249" spans="1:8" x14ac:dyDescent="0.25">
      <c r="A4249" s="1"/>
      <c r="H4249" s="2"/>
    </row>
    <row r="4250" spans="1:8" x14ac:dyDescent="0.25">
      <c r="A4250" s="1"/>
      <c r="H4250" s="2"/>
    </row>
    <row r="4251" spans="1:8" x14ac:dyDescent="0.25">
      <c r="A4251" s="1"/>
      <c r="H4251" s="2"/>
    </row>
    <row r="4252" spans="1:8" x14ac:dyDescent="0.25">
      <c r="A4252" s="1"/>
      <c r="H4252" s="2"/>
    </row>
    <row r="4253" spans="1:8" x14ac:dyDescent="0.25">
      <c r="A4253" s="1"/>
      <c r="H4253" s="2"/>
    </row>
    <row r="4254" spans="1:8" x14ac:dyDescent="0.25">
      <c r="A4254" s="1"/>
      <c r="H4254" s="2"/>
    </row>
    <row r="4255" spans="1:8" x14ac:dyDescent="0.25">
      <c r="A4255" s="1"/>
      <c r="H4255" s="2"/>
    </row>
    <row r="4256" spans="1:8" x14ac:dyDescent="0.25">
      <c r="A4256" s="1"/>
      <c r="H4256" s="2"/>
    </row>
    <row r="4257" spans="1:8" x14ac:dyDescent="0.25">
      <c r="A4257" s="1"/>
      <c r="H4257" s="2"/>
    </row>
    <row r="4258" spans="1:8" x14ac:dyDescent="0.25">
      <c r="A4258" s="1"/>
      <c r="H4258" s="2"/>
    </row>
    <row r="4259" spans="1:8" x14ac:dyDescent="0.25">
      <c r="A4259" s="1"/>
      <c r="H4259" s="2"/>
    </row>
    <row r="4260" spans="1:8" x14ac:dyDescent="0.25">
      <c r="A4260" s="1"/>
      <c r="H4260" s="2"/>
    </row>
    <row r="4261" spans="1:8" x14ac:dyDescent="0.25">
      <c r="A4261" s="1"/>
      <c r="H4261" s="2"/>
    </row>
    <row r="4262" spans="1:8" x14ac:dyDescent="0.25">
      <c r="A4262" s="1"/>
      <c r="H4262" s="2"/>
    </row>
    <row r="4263" spans="1:8" x14ac:dyDescent="0.25">
      <c r="A4263" s="1"/>
      <c r="H4263" s="2"/>
    </row>
    <row r="4264" spans="1:8" x14ac:dyDescent="0.25">
      <c r="A4264" s="1"/>
      <c r="H4264" s="2"/>
    </row>
    <row r="4265" spans="1:8" x14ac:dyDescent="0.25">
      <c r="A4265" s="1"/>
      <c r="H4265" s="2"/>
    </row>
    <row r="4266" spans="1:8" x14ac:dyDescent="0.25">
      <c r="A4266" s="1"/>
      <c r="H4266" s="2"/>
    </row>
    <row r="4267" spans="1:8" x14ac:dyDescent="0.25">
      <c r="A4267" s="1"/>
      <c r="H4267" s="2"/>
    </row>
    <row r="4268" spans="1:8" x14ac:dyDescent="0.25">
      <c r="A4268" s="1"/>
      <c r="H4268" s="2"/>
    </row>
    <row r="4269" spans="1:8" x14ac:dyDescent="0.25">
      <c r="A4269" s="1"/>
      <c r="H4269" s="2"/>
    </row>
    <row r="4270" spans="1:8" x14ac:dyDescent="0.25">
      <c r="A4270" s="1"/>
      <c r="H4270" s="2"/>
    </row>
    <row r="4271" spans="1:8" x14ac:dyDescent="0.25">
      <c r="A4271" s="1"/>
      <c r="H4271" s="2"/>
    </row>
    <row r="4272" spans="1:8" x14ac:dyDescent="0.25">
      <c r="A4272" s="1"/>
      <c r="H4272" s="2"/>
    </row>
    <row r="4273" spans="1:8" x14ac:dyDescent="0.25">
      <c r="A4273" s="1"/>
      <c r="H4273" s="2"/>
    </row>
    <row r="4274" spans="1:8" x14ac:dyDescent="0.25">
      <c r="A4274" s="1"/>
      <c r="H4274" s="2"/>
    </row>
    <row r="4275" spans="1:8" x14ac:dyDescent="0.25">
      <c r="A4275" s="1"/>
      <c r="H4275" s="2"/>
    </row>
    <row r="4276" spans="1:8" x14ac:dyDescent="0.25">
      <c r="A4276" s="1"/>
      <c r="H4276" s="2"/>
    </row>
    <row r="4277" spans="1:8" x14ac:dyDescent="0.25">
      <c r="A4277" s="1"/>
      <c r="H4277" s="2"/>
    </row>
    <row r="4278" spans="1:8" x14ac:dyDescent="0.25">
      <c r="A4278" s="1"/>
      <c r="H4278" s="2"/>
    </row>
    <row r="4279" spans="1:8" x14ac:dyDescent="0.25">
      <c r="A4279" s="1"/>
      <c r="H4279" s="2"/>
    </row>
    <row r="4280" spans="1:8" x14ac:dyDescent="0.25">
      <c r="A4280" s="1"/>
      <c r="H4280" s="2"/>
    </row>
    <row r="4281" spans="1:8" x14ac:dyDescent="0.25">
      <c r="A4281" s="1"/>
      <c r="H4281" s="2"/>
    </row>
    <row r="4282" spans="1:8" x14ac:dyDescent="0.25">
      <c r="A4282" s="1"/>
      <c r="H4282" s="2"/>
    </row>
    <row r="4283" spans="1:8" x14ac:dyDescent="0.25">
      <c r="A4283" s="1"/>
      <c r="H4283" s="2"/>
    </row>
    <row r="4284" spans="1:8" x14ac:dyDescent="0.25">
      <c r="A4284" s="1"/>
      <c r="H4284" s="2"/>
    </row>
    <row r="4285" spans="1:8" x14ac:dyDescent="0.25">
      <c r="A4285" s="1"/>
      <c r="H4285" s="2"/>
    </row>
    <row r="4286" spans="1:8" x14ac:dyDescent="0.25">
      <c r="A4286" s="1"/>
      <c r="H4286" s="2"/>
    </row>
    <row r="4287" spans="1:8" x14ac:dyDescent="0.25">
      <c r="A4287" s="1"/>
      <c r="H4287" s="2"/>
    </row>
    <row r="4288" spans="1:8" x14ac:dyDescent="0.25">
      <c r="A4288" s="1"/>
      <c r="H4288" s="2"/>
    </row>
    <row r="4289" spans="1:8" x14ac:dyDescent="0.25">
      <c r="A4289" s="1"/>
      <c r="H4289" s="2"/>
    </row>
    <row r="4290" spans="1:8" x14ac:dyDescent="0.25">
      <c r="A4290" s="1"/>
      <c r="H4290" s="2"/>
    </row>
    <row r="4291" spans="1:8" x14ac:dyDescent="0.25">
      <c r="A4291" s="1"/>
      <c r="H4291" s="2"/>
    </row>
    <row r="4292" spans="1:8" x14ac:dyDescent="0.25">
      <c r="A4292" s="1"/>
      <c r="H4292" s="2"/>
    </row>
    <row r="4293" spans="1:8" x14ac:dyDescent="0.25">
      <c r="A4293" s="1"/>
      <c r="H4293" s="2"/>
    </row>
    <row r="4294" spans="1:8" x14ac:dyDescent="0.25">
      <c r="A4294" s="1"/>
      <c r="H4294" s="2"/>
    </row>
    <row r="4295" spans="1:8" x14ac:dyDescent="0.25">
      <c r="A4295" s="1"/>
      <c r="H4295" s="2"/>
    </row>
    <row r="4296" spans="1:8" x14ac:dyDescent="0.25">
      <c r="A4296" s="1"/>
      <c r="H4296" s="2"/>
    </row>
    <row r="4297" spans="1:8" x14ac:dyDescent="0.25">
      <c r="A4297" s="1"/>
      <c r="H4297" s="2"/>
    </row>
    <row r="4298" spans="1:8" x14ac:dyDescent="0.25">
      <c r="A4298" s="1"/>
      <c r="H4298" s="2"/>
    </row>
    <row r="4299" spans="1:8" x14ac:dyDescent="0.25">
      <c r="A4299" s="1"/>
      <c r="H4299" s="2"/>
    </row>
    <row r="4300" spans="1:8" x14ac:dyDescent="0.25">
      <c r="A4300" s="1"/>
      <c r="H4300" s="2"/>
    </row>
    <row r="4301" spans="1:8" x14ac:dyDescent="0.25">
      <c r="A4301" s="1"/>
      <c r="H4301" s="2"/>
    </row>
    <row r="4302" spans="1:8" x14ac:dyDescent="0.25">
      <c r="A4302" s="1"/>
      <c r="H4302" s="2"/>
    </row>
    <row r="4303" spans="1:8" x14ac:dyDescent="0.25">
      <c r="A4303" s="1"/>
      <c r="H4303" s="2"/>
    </row>
    <row r="4304" spans="1:8" x14ac:dyDescent="0.25">
      <c r="A4304" s="1"/>
      <c r="H4304" s="2"/>
    </row>
    <row r="4305" spans="1:8" x14ac:dyDescent="0.25">
      <c r="A4305" s="1"/>
      <c r="H4305" s="2"/>
    </row>
    <row r="4306" spans="1:8" x14ac:dyDescent="0.25">
      <c r="A4306" s="1"/>
      <c r="H4306" s="2"/>
    </row>
    <row r="4307" spans="1:8" x14ac:dyDescent="0.25">
      <c r="A4307" s="1"/>
      <c r="H4307" s="2"/>
    </row>
    <row r="4308" spans="1:8" x14ac:dyDescent="0.25">
      <c r="A4308" s="1"/>
      <c r="H4308" s="2"/>
    </row>
    <row r="4309" spans="1:8" x14ac:dyDescent="0.25">
      <c r="A4309" s="1"/>
      <c r="H4309" s="2"/>
    </row>
    <row r="4310" spans="1:8" x14ac:dyDescent="0.25">
      <c r="A4310" s="1"/>
      <c r="H4310" s="2"/>
    </row>
    <row r="4311" spans="1:8" x14ac:dyDescent="0.25">
      <c r="A4311" s="1"/>
      <c r="H4311" s="2"/>
    </row>
    <row r="4312" spans="1:8" x14ac:dyDescent="0.25">
      <c r="A4312" s="1"/>
      <c r="H4312" s="2"/>
    </row>
    <row r="4313" spans="1:8" x14ac:dyDescent="0.25">
      <c r="A4313" s="1"/>
      <c r="H4313" s="2"/>
    </row>
    <row r="4314" spans="1:8" x14ac:dyDescent="0.25">
      <c r="A4314" s="1"/>
      <c r="H4314" s="2"/>
    </row>
    <row r="4315" spans="1:8" x14ac:dyDescent="0.25">
      <c r="A4315" s="1"/>
      <c r="H4315" s="2"/>
    </row>
    <row r="4316" spans="1:8" x14ac:dyDescent="0.25">
      <c r="A4316" s="1"/>
      <c r="H4316" s="2"/>
    </row>
    <row r="4317" spans="1:8" x14ac:dyDescent="0.25">
      <c r="A4317" s="1"/>
      <c r="H4317" s="2"/>
    </row>
    <row r="4318" spans="1:8" x14ac:dyDescent="0.25">
      <c r="A4318" s="1"/>
      <c r="H4318" s="2"/>
    </row>
    <row r="4319" spans="1:8" x14ac:dyDescent="0.25">
      <c r="A4319" s="1"/>
      <c r="H4319" s="2"/>
    </row>
    <row r="4320" spans="1:8" x14ac:dyDescent="0.25">
      <c r="A4320" s="1"/>
      <c r="H4320" s="2"/>
    </row>
    <row r="4321" spans="1:8" x14ac:dyDescent="0.25">
      <c r="A4321" s="1"/>
      <c r="H4321" s="2"/>
    </row>
    <row r="4322" spans="1:8" x14ac:dyDescent="0.25">
      <c r="A4322" s="1"/>
      <c r="H4322" s="2"/>
    </row>
    <row r="4323" spans="1:8" x14ac:dyDescent="0.25">
      <c r="A4323" s="1"/>
      <c r="H4323" s="2"/>
    </row>
    <row r="4324" spans="1:8" x14ac:dyDescent="0.25">
      <c r="A4324" s="1"/>
      <c r="H4324" s="2"/>
    </row>
    <row r="4325" spans="1:8" x14ac:dyDescent="0.25">
      <c r="A4325" s="1"/>
      <c r="H4325" s="2"/>
    </row>
    <row r="4326" spans="1:8" x14ac:dyDescent="0.25">
      <c r="A4326" s="1"/>
      <c r="H4326" s="2"/>
    </row>
    <row r="4327" spans="1:8" x14ac:dyDescent="0.25">
      <c r="A4327" s="1"/>
      <c r="H4327" s="2"/>
    </row>
    <row r="4328" spans="1:8" x14ac:dyDescent="0.25">
      <c r="A4328" s="1"/>
      <c r="H4328" s="2"/>
    </row>
    <row r="4329" spans="1:8" x14ac:dyDescent="0.25">
      <c r="A4329" s="1"/>
      <c r="H4329" s="2"/>
    </row>
    <row r="4330" spans="1:8" x14ac:dyDescent="0.25">
      <c r="A4330" s="1"/>
      <c r="H4330" s="2"/>
    </row>
    <row r="4331" spans="1:8" x14ac:dyDescent="0.25">
      <c r="A4331" s="1"/>
      <c r="H4331" s="2"/>
    </row>
    <row r="4332" spans="1:8" x14ac:dyDescent="0.25">
      <c r="A4332" s="1"/>
      <c r="H4332" s="2"/>
    </row>
    <row r="4333" spans="1:8" x14ac:dyDescent="0.25">
      <c r="A4333" s="1"/>
      <c r="H4333" s="2"/>
    </row>
    <row r="4334" spans="1:8" x14ac:dyDescent="0.25">
      <c r="A4334" s="1"/>
      <c r="H4334" s="2"/>
    </row>
    <row r="4335" spans="1:8" x14ac:dyDescent="0.25">
      <c r="A4335" s="1"/>
      <c r="H4335" s="2"/>
    </row>
    <row r="4336" spans="1:8" x14ac:dyDescent="0.25">
      <c r="A4336" s="1"/>
      <c r="H4336" s="2"/>
    </row>
    <row r="4337" spans="1:8" x14ac:dyDescent="0.25">
      <c r="A4337" s="1"/>
      <c r="H4337" s="2"/>
    </row>
    <row r="4338" spans="1:8" x14ac:dyDescent="0.25">
      <c r="A4338" s="1"/>
      <c r="H4338" s="2"/>
    </row>
    <row r="4339" spans="1:8" x14ac:dyDescent="0.25">
      <c r="A4339" s="1"/>
      <c r="H4339" s="2"/>
    </row>
    <row r="4340" spans="1:8" x14ac:dyDescent="0.25">
      <c r="A4340" s="1"/>
      <c r="H4340" s="2"/>
    </row>
    <row r="4341" spans="1:8" x14ac:dyDescent="0.25">
      <c r="A4341" s="1"/>
      <c r="H4341" s="2"/>
    </row>
    <row r="4342" spans="1:8" x14ac:dyDescent="0.25">
      <c r="A4342" s="1"/>
      <c r="H4342" s="2"/>
    </row>
    <row r="4343" spans="1:8" x14ac:dyDescent="0.25">
      <c r="A4343" s="1"/>
      <c r="H4343" s="2"/>
    </row>
    <row r="4344" spans="1:8" x14ac:dyDescent="0.25">
      <c r="A4344" s="1"/>
      <c r="H4344" s="2"/>
    </row>
    <row r="4345" spans="1:8" x14ac:dyDescent="0.25">
      <c r="A4345" s="1"/>
      <c r="H4345" s="2"/>
    </row>
    <row r="4346" spans="1:8" x14ac:dyDescent="0.25">
      <c r="A4346" s="1"/>
      <c r="H4346" s="2"/>
    </row>
    <row r="4347" spans="1:8" x14ac:dyDescent="0.25">
      <c r="A4347" s="1"/>
      <c r="H4347" s="2"/>
    </row>
    <row r="4348" spans="1:8" x14ac:dyDescent="0.25">
      <c r="A4348" s="1"/>
      <c r="H4348" s="2"/>
    </row>
    <row r="4349" spans="1:8" x14ac:dyDescent="0.25">
      <c r="A4349" s="1"/>
      <c r="H4349" s="2"/>
    </row>
    <row r="4350" spans="1:8" x14ac:dyDescent="0.25">
      <c r="A4350" s="1"/>
      <c r="H4350" s="2"/>
    </row>
    <row r="4351" spans="1:8" x14ac:dyDescent="0.25">
      <c r="A4351" s="1"/>
      <c r="H4351" s="2"/>
    </row>
    <row r="4352" spans="1:8" x14ac:dyDescent="0.25">
      <c r="A4352" s="1"/>
      <c r="H4352" s="2"/>
    </row>
    <row r="4353" spans="1:8" x14ac:dyDescent="0.25">
      <c r="A4353" s="1"/>
      <c r="H4353" s="2"/>
    </row>
    <row r="4354" spans="1:8" x14ac:dyDescent="0.25">
      <c r="A4354" s="1"/>
      <c r="H4354" s="2"/>
    </row>
    <row r="4355" spans="1:8" x14ac:dyDescent="0.25">
      <c r="A4355" s="1"/>
      <c r="H4355" s="2"/>
    </row>
    <row r="4356" spans="1:8" x14ac:dyDescent="0.25">
      <c r="A4356" s="1"/>
      <c r="H4356" s="2"/>
    </row>
    <row r="4357" spans="1:8" x14ac:dyDescent="0.25">
      <c r="A4357" s="1"/>
      <c r="H4357" s="2"/>
    </row>
    <row r="4358" spans="1:8" x14ac:dyDescent="0.25">
      <c r="A4358" s="1"/>
      <c r="H4358" s="2"/>
    </row>
    <row r="4359" spans="1:8" x14ac:dyDescent="0.25">
      <c r="A4359" s="1"/>
      <c r="H4359" s="2"/>
    </row>
    <row r="4360" spans="1:8" x14ac:dyDescent="0.25">
      <c r="A4360" s="1"/>
      <c r="H4360" s="2"/>
    </row>
    <row r="4361" spans="1:8" x14ac:dyDescent="0.25">
      <c r="A4361" s="1"/>
      <c r="H4361" s="2"/>
    </row>
    <row r="4362" spans="1:8" x14ac:dyDescent="0.25">
      <c r="A4362" s="1"/>
      <c r="H4362" s="2"/>
    </row>
    <row r="4363" spans="1:8" x14ac:dyDescent="0.25">
      <c r="A4363" s="1"/>
      <c r="H4363" s="2"/>
    </row>
    <row r="4364" spans="1:8" x14ac:dyDescent="0.25">
      <c r="A4364" s="1"/>
      <c r="H4364" s="2"/>
    </row>
    <row r="4365" spans="1:8" x14ac:dyDescent="0.25">
      <c r="A4365" s="1"/>
      <c r="H4365" s="2"/>
    </row>
    <row r="4366" spans="1:8" x14ac:dyDescent="0.25">
      <c r="A4366" s="1"/>
      <c r="H4366" s="2"/>
    </row>
    <row r="4367" spans="1:8" x14ac:dyDescent="0.25">
      <c r="A4367" s="1"/>
      <c r="H4367" s="2"/>
    </row>
    <row r="4368" spans="1:8" x14ac:dyDescent="0.25">
      <c r="A4368" s="1"/>
      <c r="H4368" s="2"/>
    </row>
    <row r="4369" spans="1:8" x14ac:dyDescent="0.25">
      <c r="A4369" s="1"/>
      <c r="H4369" s="2"/>
    </row>
    <row r="4370" spans="1:8" x14ac:dyDescent="0.25">
      <c r="A4370" s="1"/>
      <c r="H4370" s="2"/>
    </row>
    <row r="4371" spans="1:8" x14ac:dyDescent="0.25">
      <c r="A4371" s="1"/>
      <c r="H4371" s="2"/>
    </row>
    <row r="4372" spans="1:8" x14ac:dyDescent="0.25">
      <c r="A4372" s="1"/>
      <c r="H4372" s="2"/>
    </row>
    <row r="4373" spans="1:8" x14ac:dyDescent="0.25">
      <c r="A4373" s="1"/>
      <c r="H4373" s="2"/>
    </row>
    <row r="4374" spans="1:8" x14ac:dyDescent="0.25">
      <c r="A4374" s="1"/>
      <c r="H4374" s="2"/>
    </row>
    <row r="4375" spans="1:8" x14ac:dyDescent="0.25">
      <c r="A4375" s="1"/>
      <c r="H4375" s="2"/>
    </row>
    <row r="4376" spans="1:8" x14ac:dyDescent="0.25">
      <c r="A4376" s="1"/>
      <c r="H4376" s="2"/>
    </row>
    <row r="4377" spans="1:8" x14ac:dyDescent="0.25">
      <c r="A4377" s="1"/>
      <c r="H4377" s="2"/>
    </row>
    <row r="4378" spans="1:8" x14ac:dyDescent="0.25">
      <c r="A4378" s="1"/>
      <c r="H4378" s="2"/>
    </row>
    <row r="4379" spans="1:8" x14ac:dyDescent="0.25">
      <c r="A4379" s="1"/>
      <c r="H4379" s="2"/>
    </row>
    <row r="4380" spans="1:8" x14ac:dyDescent="0.25">
      <c r="A4380" s="1"/>
      <c r="H4380" s="2"/>
    </row>
    <row r="4381" spans="1:8" x14ac:dyDescent="0.25">
      <c r="A4381" s="1"/>
      <c r="H4381" s="2"/>
    </row>
    <row r="4382" spans="1:8" x14ac:dyDescent="0.25">
      <c r="A4382" s="1"/>
      <c r="H4382" s="2"/>
    </row>
    <row r="4383" spans="1:8" x14ac:dyDescent="0.25">
      <c r="A4383" s="1"/>
      <c r="H4383" s="2"/>
    </row>
    <row r="4384" spans="1:8" x14ac:dyDescent="0.25">
      <c r="A4384" s="1"/>
      <c r="H4384" s="2"/>
    </row>
    <row r="4385" spans="1:8" x14ac:dyDescent="0.25">
      <c r="A4385" s="1"/>
      <c r="H4385" s="2"/>
    </row>
    <row r="4386" spans="1:8" x14ac:dyDescent="0.25">
      <c r="A4386" s="1"/>
      <c r="H4386" s="2"/>
    </row>
    <row r="4387" spans="1:8" x14ac:dyDescent="0.25">
      <c r="A4387" s="1"/>
      <c r="H4387" s="2"/>
    </row>
    <row r="4388" spans="1:8" x14ac:dyDescent="0.25">
      <c r="A4388" s="1"/>
      <c r="H4388" s="2"/>
    </row>
    <row r="4389" spans="1:8" x14ac:dyDescent="0.25">
      <c r="A4389" s="1"/>
      <c r="H4389" s="2"/>
    </row>
    <row r="4390" spans="1:8" x14ac:dyDescent="0.25">
      <c r="A4390" s="1"/>
      <c r="H4390" s="2"/>
    </row>
    <row r="4391" spans="1:8" x14ac:dyDescent="0.25">
      <c r="A4391" s="1"/>
      <c r="H4391" s="2"/>
    </row>
    <row r="4392" spans="1:8" x14ac:dyDescent="0.25">
      <c r="A4392" s="1"/>
      <c r="H4392" s="2"/>
    </row>
    <row r="4393" spans="1:8" x14ac:dyDescent="0.25">
      <c r="A4393" s="1"/>
      <c r="H4393" s="2"/>
    </row>
    <row r="4394" spans="1:8" x14ac:dyDescent="0.25">
      <c r="A4394" s="1"/>
      <c r="H4394" s="2"/>
    </row>
    <row r="4395" spans="1:8" x14ac:dyDescent="0.25">
      <c r="A4395" s="1"/>
      <c r="H4395" s="2"/>
    </row>
    <row r="4396" spans="1:8" x14ac:dyDescent="0.25">
      <c r="A4396" s="1"/>
      <c r="H4396" s="2"/>
    </row>
    <row r="4397" spans="1:8" x14ac:dyDescent="0.25">
      <c r="A4397" s="1"/>
      <c r="H4397" s="2"/>
    </row>
    <row r="4398" spans="1:8" x14ac:dyDescent="0.25">
      <c r="A4398" s="1"/>
      <c r="H4398" s="2"/>
    </row>
    <row r="4399" spans="1:8" x14ac:dyDescent="0.25">
      <c r="A4399" s="1"/>
      <c r="H4399" s="2"/>
    </row>
    <row r="4400" spans="1:8" x14ac:dyDescent="0.25">
      <c r="A4400" s="1"/>
      <c r="H4400" s="2"/>
    </row>
    <row r="4401" spans="1:8" x14ac:dyDescent="0.25">
      <c r="A4401" s="1"/>
      <c r="H4401" s="2"/>
    </row>
    <row r="4402" spans="1:8" x14ac:dyDescent="0.25">
      <c r="A4402" s="1"/>
      <c r="H4402" s="2"/>
    </row>
    <row r="4403" spans="1:8" x14ac:dyDescent="0.25">
      <c r="A4403" s="1"/>
      <c r="H4403" s="2"/>
    </row>
    <row r="4404" spans="1:8" x14ac:dyDescent="0.25">
      <c r="A4404" s="1"/>
      <c r="H4404" s="2"/>
    </row>
    <row r="4405" spans="1:8" x14ac:dyDescent="0.25">
      <c r="A4405" s="1"/>
      <c r="H4405" s="2"/>
    </row>
    <row r="4406" spans="1:8" x14ac:dyDescent="0.25">
      <c r="A4406" s="1"/>
      <c r="H4406" s="2"/>
    </row>
    <row r="4407" spans="1:8" x14ac:dyDescent="0.25">
      <c r="A4407" s="1"/>
      <c r="H4407" s="2"/>
    </row>
    <row r="4408" spans="1:8" x14ac:dyDescent="0.25">
      <c r="A4408" s="1"/>
      <c r="H4408" s="2"/>
    </row>
    <row r="4409" spans="1:8" x14ac:dyDescent="0.25">
      <c r="A4409" s="1"/>
      <c r="H4409" s="2"/>
    </row>
    <row r="4410" spans="1:8" x14ac:dyDescent="0.25">
      <c r="A4410" s="1"/>
      <c r="H4410" s="2"/>
    </row>
    <row r="4411" spans="1:8" x14ac:dyDescent="0.25">
      <c r="A4411" s="1"/>
      <c r="H4411" s="2"/>
    </row>
    <row r="4412" spans="1:8" x14ac:dyDescent="0.25">
      <c r="A4412" s="1"/>
      <c r="H4412" s="2"/>
    </row>
    <row r="4413" spans="1:8" x14ac:dyDescent="0.25">
      <c r="A4413" s="1"/>
      <c r="H4413" s="2"/>
    </row>
    <row r="4414" spans="1:8" x14ac:dyDescent="0.25">
      <c r="A4414" s="1"/>
      <c r="H4414" s="2"/>
    </row>
    <row r="4415" spans="1:8" x14ac:dyDescent="0.25">
      <c r="A4415" s="1"/>
      <c r="H4415" s="2"/>
    </row>
    <row r="4416" spans="1:8" x14ac:dyDescent="0.25">
      <c r="A4416" s="1"/>
      <c r="H4416" s="2"/>
    </row>
    <row r="4417" spans="1:8" x14ac:dyDescent="0.25">
      <c r="A4417" s="1"/>
      <c r="H4417" s="2"/>
    </row>
    <row r="4418" spans="1:8" x14ac:dyDescent="0.25">
      <c r="A4418" s="1"/>
      <c r="H4418" s="2"/>
    </row>
    <row r="4419" spans="1:8" x14ac:dyDescent="0.25">
      <c r="A4419" s="1"/>
      <c r="H4419" s="2"/>
    </row>
    <row r="4420" spans="1:8" x14ac:dyDescent="0.25">
      <c r="A4420" s="1"/>
      <c r="H4420" s="2"/>
    </row>
    <row r="4421" spans="1:8" x14ac:dyDescent="0.25">
      <c r="A4421" s="1"/>
      <c r="H4421" s="2"/>
    </row>
    <row r="4422" spans="1:8" x14ac:dyDescent="0.25">
      <c r="A4422" s="1"/>
      <c r="H4422" s="2"/>
    </row>
    <row r="4423" spans="1:8" x14ac:dyDescent="0.25">
      <c r="A4423" s="1"/>
      <c r="H4423" s="2"/>
    </row>
    <row r="4424" spans="1:8" x14ac:dyDescent="0.25">
      <c r="A4424" s="1"/>
      <c r="H4424" s="2"/>
    </row>
    <row r="4425" spans="1:8" x14ac:dyDescent="0.25">
      <c r="A4425" s="1"/>
      <c r="H4425" s="2"/>
    </row>
    <row r="4426" spans="1:8" x14ac:dyDescent="0.25">
      <c r="A4426" s="1"/>
      <c r="H4426" s="2"/>
    </row>
    <row r="4427" spans="1:8" x14ac:dyDescent="0.25">
      <c r="A4427" s="1"/>
      <c r="H4427" s="2"/>
    </row>
    <row r="4428" spans="1:8" x14ac:dyDescent="0.25">
      <c r="A4428" s="1"/>
      <c r="H4428" s="2"/>
    </row>
    <row r="4429" spans="1:8" x14ac:dyDescent="0.25">
      <c r="A4429" s="1"/>
      <c r="H4429" s="2"/>
    </row>
    <row r="4430" spans="1:8" x14ac:dyDescent="0.25">
      <c r="A4430" s="1"/>
      <c r="H4430" s="2"/>
    </row>
    <row r="4431" spans="1:8" x14ac:dyDescent="0.25">
      <c r="A4431" s="1"/>
      <c r="H4431" s="2"/>
    </row>
    <row r="4432" spans="1:8" x14ac:dyDescent="0.25">
      <c r="A4432" s="1"/>
      <c r="H4432" s="2"/>
    </row>
    <row r="4433" spans="1:8" x14ac:dyDescent="0.25">
      <c r="A4433" s="1"/>
      <c r="H4433" s="2"/>
    </row>
    <row r="4434" spans="1:8" x14ac:dyDescent="0.25">
      <c r="A4434" s="1"/>
      <c r="H4434" s="2"/>
    </row>
    <row r="4435" spans="1:8" x14ac:dyDescent="0.25">
      <c r="A4435" s="1"/>
      <c r="H4435" s="2"/>
    </row>
    <row r="4436" spans="1:8" x14ac:dyDescent="0.25">
      <c r="A4436" s="1"/>
      <c r="H4436" s="2"/>
    </row>
    <row r="4437" spans="1:8" x14ac:dyDescent="0.25">
      <c r="A4437" s="1"/>
      <c r="H4437" s="2"/>
    </row>
    <row r="4438" spans="1:8" x14ac:dyDescent="0.25">
      <c r="A4438" s="1"/>
      <c r="H4438" s="2"/>
    </row>
    <row r="4439" spans="1:8" x14ac:dyDescent="0.25">
      <c r="A4439" s="1"/>
      <c r="H4439" s="2"/>
    </row>
    <row r="4440" spans="1:8" x14ac:dyDescent="0.25">
      <c r="A4440" s="1"/>
      <c r="H4440" s="2"/>
    </row>
    <row r="4441" spans="1:8" x14ac:dyDescent="0.25">
      <c r="A4441" s="1"/>
      <c r="H4441" s="2"/>
    </row>
    <row r="4442" spans="1:8" x14ac:dyDescent="0.25">
      <c r="A4442" s="1"/>
      <c r="H4442" s="2"/>
    </row>
    <row r="4443" spans="1:8" x14ac:dyDescent="0.25">
      <c r="A4443" s="1"/>
      <c r="H4443" s="2"/>
    </row>
    <row r="4444" spans="1:8" x14ac:dyDescent="0.25">
      <c r="A4444" s="1"/>
      <c r="H4444" s="2"/>
    </row>
    <row r="4445" spans="1:8" x14ac:dyDescent="0.25">
      <c r="A4445" s="1"/>
      <c r="H4445" s="2"/>
    </row>
    <row r="4446" spans="1:8" x14ac:dyDescent="0.25">
      <c r="A4446" s="1"/>
      <c r="H4446" s="2"/>
    </row>
    <row r="4447" spans="1:8" x14ac:dyDescent="0.25">
      <c r="A4447" s="1"/>
      <c r="H4447" s="2"/>
    </row>
    <row r="4448" spans="1:8" x14ac:dyDescent="0.25">
      <c r="A4448" s="1"/>
      <c r="H4448" s="2"/>
    </row>
    <row r="4449" spans="1:8" x14ac:dyDescent="0.25">
      <c r="A4449" s="1"/>
      <c r="H4449" s="2"/>
    </row>
    <row r="4450" spans="1:8" x14ac:dyDescent="0.25">
      <c r="A4450" s="1"/>
      <c r="H4450" s="2"/>
    </row>
    <row r="4451" spans="1:8" x14ac:dyDescent="0.25">
      <c r="A4451" s="1"/>
      <c r="H4451" s="2"/>
    </row>
    <row r="4452" spans="1:8" x14ac:dyDescent="0.25">
      <c r="A4452" s="1"/>
      <c r="H4452" s="2"/>
    </row>
    <row r="4453" spans="1:8" x14ac:dyDescent="0.25">
      <c r="A4453" s="1"/>
      <c r="H4453" s="2"/>
    </row>
    <row r="4454" spans="1:8" x14ac:dyDescent="0.25">
      <c r="A4454" s="1"/>
      <c r="H4454" s="2"/>
    </row>
    <row r="4455" spans="1:8" x14ac:dyDescent="0.25">
      <c r="A4455" s="1"/>
      <c r="H4455" s="2"/>
    </row>
    <row r="4456" spans="1:8" x14ac:dyDescent="0.25">
      <c r="A4456" s="1"/>
      <c r="H4456" s="2"/>
    </row>
    <row r="4457" spans="1:8" x14ac:dyDescent="0.25">
      <c r="A4457" s="1"/>
      <c r="H4457" s="2"/>
    </row>
    <row r="4458" spans="1:8" x14ac:dyDescent="0.25">
      <c r="A4458" s="1"/>
      <c r="H4458" s="2"/>
    </row>
    <row r="4459" spans="1:8" x14ac:dyDescent="0.25">
      <c r="A4459" s="1"/>
      <c r="H4459" s="2"/>
    </row>
    <row r="4460" spans="1:8" x14ac:dyDescent="0.25">
      <c r="A4460" s="1"/>
      <c r="H4460" s="2"/>
    </row>
    <row r="4461" spans="1:8" x14ac:dyDescent="0.25">
      <c r="A4461" s="1"/>
      <c r="H4461" s="2"/>
    </row>
    <row r="4462" spans="1:8" x14ac:dyDescent="0.25">
      <c r="A4462" s="1"/>
      <c r="H4462" s="2"/>
    </row>
    <row r="4463" spans="1:8" x14ac:dyDescent="0.25">
      <c r="A4463" s="1"/>
      <c r="H4463" s="2"/>
    </row>
    <row r="4464" spans="1:8" x14ac:dyDescent="0.25">
      <c r="A4464" s="1"/>
      <c r="H4464" s="2"/>
    </row>
    <row r="4465" spans="1:8" x14ac:dyDescent="0.25">
      <c r="A4465" s="1"/>
      <c r="H4465" s="2"/>
    </row>
    <row r="4466" spans="1:8" x14ac:dyDescent="0.25">
      <c r="A4466" s="1"/>
      <c r="H4466" s="2"/>
    </row>
    <row r="4467" spans="1:8" x14ac:dyDescent="0.25">
      <c r="A4467" s="1"/>
      <c r="H4467" s="2"/>
    </row>
    <row r="4468" spans="1:8" x14ac:dyDescent="0.25">
      <c r="A4468" s="1"/>
      <c r="H4468" s="2"/>
    </row>
    <row r="4469" spans="1:8" x14ac:dyDescent="0.25">
      <c r="A4469" s="1"/>
      <c r="H4469" s="2"/>
    </row>
    <row r="4470" spans="1:8" x14ac:dyDescent="0.25">
      <c r="A4470" s="1"/>
      <c r="H4470" s="2"/>
    </row>
    <row r="4471" spans="1:8" x14ac:dyDescent="0.25">
      <c r="A4471" s="1"/>
      <c r="H4471" s="2"/>
    </row>
    <row r="4472" spans="1:8" x14ac:dyDescent="0.25">
      <c r="A4472" s="1"/>
      <c r="H4472" s="2"/>
    </row>
    <row r="4473" spans="1:8" x14ac:dyDescent="0.25">
      <c r="A4473" s="1"/>
      <c r="H4473" s="2"/>
    </row>
    <row r="4474" spans="1:8" x14ac:dyDescent="0.25">
      <c r="A4474" s="1"/>
      <c r="H4474" s="2"/>
    </row>
    <row r="4475" spans="1:8" x14ac:dyDescent="0.25">
      <c r="A4475" s="1"/>
      <c r="H4475" s="2"/>
    </row>
    <row r="4476" spans="1:8" x14ac:dyDescent="0.25">
      <c r="A4476" s="1"/>
      <c r="H4476" s="2"/>
    </row>
    <row r="4477" spans="1:8" x14ac:dyDescent="0.25">
      <c r="A4477" s="1"/>
      <c r="H4477" s="2"/>
    </row>
    <row r="4478" spans="1:8" x14ac:dyDescent="0.25">
      <c r="A4478" s="1"/>
      <c r="H4478" s="2"/>
    </row>
    <row r="4479" spans="1:8" x14ac:dyDescent="0.25">
      <c r="A4479" s="1"/>
      <c r="H4479" s="2"/>
    </row>
    <row r="4480" spans="1:8" x14ac:dyDescent="0.25">
      <c r="A4480" s="1"/>
      <c r="H4480" s="2"/>
    </row>
    <row r="4481" spans="1:8" x14ac:dyDescent="0.25">
      <c r="A4481" s="1"/>
      <c r="H4481" s="2"/>
    </row>
    <row r="4482" spans="1:8" x14ac:dyDescent="0.25">
      <c r="A4482" s="1"/>
      <c r="H4482" s="2"/>
    </row>
    <row r="4483" spans="1:8" x14ac:dyDescent="0.25">
      <c r="A4483" s="1"/>
      <c r="H4483" s="2"/>
    </row>
    <row r="4484" spans="1:8" x14ac:dyDescent="0.25">
      <c r="A4484" s="1"/>
      <c r="H4484" s="2"/>
    </row>
    <row r="4485" spans="1:8" x14ac:dyDescent="0.25">
      <c r="A4485" s="1"/>
      <c r="H4485" s="2"/>
    </row>
    <row r="4486" spans="1:8" x14ac:dyDescent="0.25">
      <c r="A4486" s="1"/>
      <c r="H4486" s="2"/>
    </row>
    <row r="4487" spans="1:8" x14ac:dyDescent="0.25">
      <c r="A4487" s="1"/>
      <c r="H4487" s="2"/>
    </row>
    <row r="4488" spans="1:8" x14ac:dyDescent="0.25">
      <c r="A4488" s="1"/>
      <c r="H4488" s="2"/>
    </row>
    <row r="4489" spans="1:8" x14ac:dyDescent="0.25">
      <c r="A4489" s="1"/>
      <c r="H4489" s="2"/>
    </row>
    <row r="4490" spans="1:8" x14ac:dyDescent="0.25">
      <c r="A4490" s="1"/>
      <c r="H4490" s="2"/>
    </row>
    <row r="4491" spans="1:8" x14ac:dyDescent="0.25">
      <c r="A4491" s="1"/>
      <c r="H4491" s="2"/>
    </row>
    <row r="4492" spans="1:8" x14ac:dyDescent="0.25">
      <c r="A4492" s="1"/>
      <c r="H4492" s="2"/>
    </row>
    <row r="4493" spans="1:8" x14ac:dyDescent="0.25">
      <c r="A4493" s="1"/>
      <c r="H4493" s="2"/>
    </row>
    <row r="4494" spans="1:8" x14ac:dyDescent="0.25">
      <c r="A4494" s="1"/>
      <c r="H4494" s="2"/>
    </row>
    <row r="4495" spans="1:8" x14ac:dyDescent="0.25">
      <c r="A4495" s="1"/>
      <c r="H4495" s="2"/>
    </row>
    <row r="4496" spans="1:8" x14ac:dyDescent="0.25">
      <c r="A4496" s="1"/>
      <c r="H4496" s="2"/>
    </row>
    <row r="4497" spans="1:8" x14ac:dyDescent="0.25">
      <c r="A4497" s="1"/>
      <c r="H4497" s="2"/>
    </row>
    <row r="4498" spans="1:8" x14ac:dyDescent="0.25">
      <c r="A4498" s="1"/>
      <c r="H4498" s="2"/>
    </row>
    <row r="4499" spans="1:8" x14ac:dyDescent="0.25">
      <c r="A4499" s="1"/>
      <c r="H4499" s="2"/>
    </row>
    <row r="4500" spans="1:8" x14ac:dyDescent="0.25">
      <c r="A4500" s="1"/>
      <c r="H4500" s="2"/>
    </row>
    <row r="4501" spans="1:8" x14ac:dyDescent="0.25">
      <c r="A4501" s="1"/>
      <c r="H4501" s="2"/>
    </row>
    <row r="4502" spans="1:8" x14ac:dyDescent="0.25">
      <c r="A4502" s="1"/>
      <c r="H4502" s="2"/>
    </row>
    <row r="4503" spans="1:8" x14ac:dyDescent="0.25">
      <c r="A4503" s="1"/>
      <c r="H4503" s="2"/>
    </row>
    <row r="4504" spans="1:8" x14ac:dyDescent="0.25">
      <c r="A4504" s="1"/>
      <c r="H4504" s="2"/>
    </row>
    <row r="4505" spans="1:8" x14ac:dyDescent="0.25">
      <c r="A4505" s="1"/>
      <c r="H4505" s="2"/>
    </row>
    <row r="4506" spans="1:8" x14ac:dyDescent="0.25">
      <c r="A4506" s="1"/>
      <c r="H4506" s="2"/>
    </row>
    <row r="4507" spans="1:8" x14ac:dyDescent="0.25">
      <c r="A4507" s="1"/>
      <c r="H4507" s="2"/>
    </row>
    <row r="4508" spans="1:8" x14ac:dyDescent="0.25">
      <c r="A4508" s="1"/>
      <c r="H4508" s="2"/>
    </row>
    <row r="4509" spans="1:8" x14ac:dyDescent="0.25">
      <c r="A4509" s="1"/>
      <c r="H4509" s="2"/>
    </row>
    <row r="4510" spans="1:8" x14ac:dyDescent="0.25">
      <c r="A4510" s="1"/>
      <c r="H4510" s="2"/>
    </row>
    <row r="4511" spans="1:8" x14ac:dyDescent="0.25">
      <c r="A4511" s="1"/>
      <c r="H4511" s="2"/>
    </row>
    <row r="4512" spans="1:8" x14ac:dyDescent="0.25">
      <c r="A4512" s="1"/>
      <c r="H4512" s="2"/>
    </row>
    <row r="4513" spans="1:8" x14ac:dyDescent="0.25">
      <c r="A4513" s="1"/>
      <c r="H4513" s="2"/>
    </row>
    <row r="4514" spans="1:8" x14ac:dyDescent="0.25">
      <c r="A4514" s="1"/>
      <c r="H4514" s="2"/>
    </row>
    <row r="4515" spans="1:8" x14ac:dyDescent="0.25">
      <c r="A4515" s="1"/>
      <c r="H4515" s="2"/>
    </row>
    <row r="4516" spans="1:8" x14ac:dyDescent="0.25">
      <c r="A4516" s="1"/>
      <c r="H4516" s="2"/>
    </row>
    <row r="4517" spans="1:8" x14ac:dyDescent="0.25">
      <c r="A4517" s="1"/>
      <c r="H4517" s="2"/>
    </row>
    <row r="4518" spans="1:8" x14ac:dyDescent="0.25">
      <c r="A4518" s="1"/>
      <c r="H4518" s="2"/>
    </row>
    <row r="4519" spans="1:8" x14ac:dyDescent="0.25">
      <c r="A4519" s="1"/>
      <c r="H4519" s="2"/>
    </row>
    <row r="4520" spans="1:8" x14ac:dyDescent="0.25">
      <c r="A4520" s="1"/>
      <c r="H4520" s="2"/>
    </row>
    <row r="4521" spans="1:8" x14ac:dyDescent="0.25">
      <c r="A4521" s="1"/>
      <c r="H4521" s="2"/>
    </row>
    <row r="4522" spans="1:8" x14ac:dyDescent="0.25">
      <c r="A4522" s="1"/>
      <c r="H4522" s="2"/>
    </row>
    <row r="4523" spans="1:8" x14ac:dyDescent="0.25">
      <c r="A4523" s="1"/>
      <c r="H4523" s="2"/>
    </row>
    <row r="4524" spans="1:8" x14ac:dyDescent="0.25">
      <c r="A4524" s="1"/>
      <c r="H4524" s="2"/>
    </row>
    <row r="4525" spans="1:8" x14ac:dyDescent="0.25">
      <c r="A4525" s="1"/>
      <c r="H4525" s="2"/>
    </row>
    <row r="4526" spans="1:8" x14ac:dyDescent="0.25">
      <c r="A4526" s="1"/>
      <c r="H4526" s="2"/>
    </row>
    <row r="4527" spans="1:8" x14ac:dyDescent="0.25">
      <c r="A4527" s="1"/>
      <c r="H4527" s="2"/>
    </row>
    <row r="4528" spans="1:8" x14ac:dyDescent="0.25">
      <c r="A4528" s="1"/>
      <c r="H4528" s="2"/>
    </row>
    <row r="4529" spans="1:8" x14ac:dyDescent="0.25">
      <c r="A4529" s="1"/>
      <c r="H4529" s="2"/>
    </row>
    <row r="4530" spans="1:8" x14ac:dyDescent="0.25">
      <c r="A4530" s="1"/>
      <c r="H4530" s="2"/>
    </row>
    <row r="4531" spans="1:8" x14ac:dyDescent="0.25">
      <c r="A4531" s="1"/>
      <c r="H4531" s="2"/>
    </row>
    <row r="4532" spans="1:8" x14ac:dyDescent="0.25">
      <c r="A4532" s="1"/>
      <c r="H4532" s="2"/>
    </row>
    <row r="4533" spans="1:8" x14ac:dyDescent="0.25">
      <c r="A4533" s="1"/>
      <c r="H4533" s="2"/>
    </row>
    <row r="4534" spans="1:8" x14ac:dyDescent="0.25">
      <c r="A4534" s="1"/>
      <c r="H4534" s="2"/>
    </row>
    <row r="4535" spans="1:8" x14ac:dyDescent="0.25">
      <c r="A4535" s="1"/>
      <c r="H4535" s="2"/>
    </row>
    <row r="4536" spans="1:8" x14ac:dyDescent="0.25">
      <c r="A4536" s="1"/>
      <c r="H4536" s="2"/>
    </row>
    <row r="4537" spans="1:8" x14ac:dyDescent="0.25">
      <c r="A4537" s="1"/>
      <c r="H4537" s="2"/>
    </row>
    <row r="4538" spans="1:8" x14ac:dyDescent="0.25">
      <c r="A4538" s="1"/>
      <c r="H4538" s="2"/>
    </row>
    <row r="4539" spans="1:8" x14ac:dyDescent="0.25">
      <c r="A4539" s="1"/>
      <c r="H4539" s="2"/>
    </row>
    <row r="4540" spans="1:8" x14ac:dyDescent="0.25">
      <c r="A4540" s="1"/>
      <c r="H4540" s="2"/>
    </row>
    <row r="4541" spans="1:8" x14ac:dyDescent="0.25">
      <c r="A4541" s="1"/>
      <c r="H4541" s="2"/>
    </row>
    <row r="4542" spans="1:8" x14ac:dyDescent="0.25">
      <c r="A4542" s="1"/>
      <c r="H4542" s="2"/>
    </row>
    <row r="4543" spans="1:8" x14ac:dyDescent="0.25">
      <c r="A4543" s="1"/>
      <c r="H4543" s="2"/>
    </row>
    <row r="4544" spans="1:8" x14ac:dyDescent="0.25">
      <c r="A4544" s="1"/>
      <c r="H4544" s="2"/>
    </row>
    <row r="4545" spans="1:8" x14ac:dyDescent="0.25">
      <c r="A4545" s="1"/>
      <c r="H4545" s="2"/>
    </row>
    <row r="4546" spans="1:8" x14ac:dyDescent="0.25">
      <c r="A4546" s="1"/>
      <c r="H4546" s="2"/>
    </row>
    <row r="4547" spans="1:8" x14ac:dyDescent="0.25">
      <c r="A4547" s="1"/>
      <c r="H4547" s="2"/>
    </row>
    <row r="4548" spans="1:8" x14ac:dyDescent="0.25">
      <c r="A4548" s="1"/>
      <c r="H4548" s="2"/>
    </row>
    <row r="4549" spans="1:8" x14ac:dyDescent="0.25">
      <c r="A4549" s="1"/>
      <c r="H4549" s="2"/>
    </row>
    <row r="4550" spans="1:8" x14ac:dyDescent="0.25">
      <c r="A4550" s="1"/>
      <c r="H4550" s="2"/>
    </row>
    <row r="4551" spans="1:8" x14ac:dyDescent="0.25">
      <c r="A4551" s="1"/>
      <c r="H4551" s="2"/>
    </row>
    <row r="4552" spans="1:8" x14ac:dyDescent="0.25">
      <c r="A4552" s="1"/>
      <c r="H4552" s="2"/>
    </row>
    <row r="4553" spans="1:8" x14ac:dyDescent="0.25">
      <c r="A4553" s="1"/>
      <c r="H4553" s="2"/>
    </row>
    <row r="4554" spans="1:8" x14ac:dyDescent="0.25">
      <c r="A4554" s="1"/>
      <c r="H4554" s="2"/>
    </row>
    <row r="4555" spans="1:8" x14ac:dyDescent="0.25">
      <c r="A4555" s="1"/>
      <c r="H4555" s="2"/>
    </row>
    <row r="4556" spans="1:8" x14ac:dyDescent="0.25">
      <c r="A4556" s="1"/>
      <c r="H4556" s="2"/>
    </row>
    <row r="4557" spans="1:8" x14ac:dyDescent="0.25">
      <c r="A4557" s="1"/>
      <c r="H4557" s="2"/>
    </row>
    <row r="4558" spans="1:8" x14ac:dyDescent="0.25">
      <c r="A4558" s="1"/>
      <c r="H4558" s="2"/>
    </row>
    <row r="4559" spans="1:8" x14ac:dyDescent="0.25">
      <c r="A4559" s="1"/>
      <c r="H4559" s="2"/>
    </row>
    <row r="4560" spans="1:8" x14ac:dyDescent="0.25">
      <c r="A4560" s="1"/>
      <c r="H4560" s="2"/>
    </row>
    <row r="4561" spans="1:8" x14ac:dyDescent="0.25">
      <c r="A4561" s="1"/>
      <c r="H4561" s="2"/>
    </row>
    <row r="4562" spans="1:8" x14ac:dyDescent="0.25">
      <c r="A4562" s="1"/>
      <c r="H4562" s="2"/>
    </row>
    <row r="4563" spans="1:8" x14ac:dyDescent="0.25">
      <c r="A4563" s="1"/>
      <c r="H4563" s="2"/>
    </row>
    <row r="4564" spans="1:8" x14ac:dyDescent="0.25">
      <c r="A4564" s="1"/>
      <c r="H4564" s="2"/>
    </row>
    <row r="4565" spans="1:8" x14ac:dyDescent="0.25">
      <c r="A4565" s="1"/>
      <c r="H4565" s="2"/>
    </row>
    <row r="4566" spans="1:8" x14ac:dyDescent="0.25">
      <c r="A4566" s="1"/>
      <c r="H4566" s="2"/>
    </row>
    <row r="4567" spans="1:8" x14ac:dyDescent="0.25">
      <c r="A4567" s="1"/>
      <c r="H4567" s="2"/>
    </row>
    <row r="4568" spans="1:8" x14ac:dyDescent="0.25">
      <c r="A4568" s="1"/>
      <c r="H4568" s="2"/>
    </row>
    <row r="4569" spans="1:8" x14ac:dyDescent="0.25">
      <c r="A4569" s="1"/>
      <c r="H4569" s="2"/>
    </row>
    <row r="4570" spans="1:8" x14ac:dyDescent="0.25">
      <c r="A4570" s="1"/>
      <c r="H4570" s="2"/>
    </row>
    <row r="4571" spans="1:8" x14ac:dyDescent="0.25">
      <c r="A4571" s="1"/>
      <c r="H4571" s="2"/>
    </row>
    <row r="4572" spans="1:8" x14ac:dyDescent="0.25">
      <c r="A4572" s="1"/>
      <c r="H4572" s="2"/>
    </row>
    <row r="4573" spans="1:8" x14ac:dyDescent="0.25">
      <c r="A4573" s="1"/>
      <c r="H4573" s="2"/>
    </row>
    <row r="4574" spans="1:8" x14ac:dyDescent="0.25">
      <c r="A4574" s="1"/>
      <c r="H4574" s="2"/>
    </row>
    <row r="4575" spans="1:8" x14ac:dyDescent="0.25">
      <c r="A4575" s="1"/>
      <c r="H4575" s="2"/>
    </row>
    <row r="4576" spans="1:8" x14ac:dyDescent="0.25">
      <c r="A4576" s="1"/>
      <c r="H4576" s="2"/>
    </row>
    <row r="4577" spans="1:8" x14ac:dyDescent="0.25">
      <c r="A4577" s="1"/>
      <c r="H4577" s="2"/>
    </row>
    <row r="4578" spans="1:8" x14ac:dyDescent="0.25">
      <c r="A4578" s="1"/>
      <c r="H4578" s="2"/>
    </row>
    <row r="4579" spans="1:8" x14ac:dyDescent="0.25">
      <c r="A4579" s="1"/>
      <c r="H4579" s="2"/>
    </row>
    <row r="4580" spans="1:8" x14ac:dyDescent="0.25">
      <c r="A4580" s="1"/>
      <c r="H4580" s="2"/>
    </row>
    <row r="4581" spans="1:8" x14ac:dyDescent="0.25">
      <c r="A4581" s="1"/>
      <c r="H4581" s="2"/>
    </row>
    <row r="4582" spans="1:8" x14ac:dyDescent="0.25">
      <c r="A4582" s="1"/>
      <c r="H4582" s="2"/>
    </row>
    <row r="4583" spans="1:8" x14ac:dyDescent="0.25">
      <c r="A4583" s="1"/>
      <c r="H4583" s="2"/>
    </row>
    <row r="4584" spans="1:8" x14ac:dyDescent="0.25">
      <c r="A4584" s="1"/>
      <c r="H4584" s="2"/>
    </row>
    <row r="4585" spans="1:8" x14ac:dyDescent="0.25">
      <c r="A4585" s="1"/>
      <c r="H4585" s="2"/>
    </row>
    <row r="4586" spans="1:8" x14ac:dyDescent="0.25">
      <c r="A4586" s="1"/>
      <c r="H4586" s="2"/>
    </row>
    <row r="4587" spans="1:8" x14ac:dyDescent="0.25">
      <c r="A4587" s="1"/>
      <c r="H4587" s="2"/>
    </row>
    <row r="4588" spans="1:8" x14ac:dyDescent="0.25">
      <c r="A4588" s="1"/>
      <c r="H4588" s="2"/>
    </row>
    <row r="4589" spans="1:8" x14ac:dyDescent="0.25">
      <c r="A4589" s="1"/>
      <c r="H4589" s="2"/>
    </row>
    <row r="4590" spans="1:8" x14ac:dyDescent="0.25">
      <c r="A4590" s="1"/>
      <c r="H4590" s="2"/>
    </row>
    <row r="4591" spans="1:8" x14ac:dyDescent="0.25">
      <c r="A4591" s="1"/>
      <c r="H4591" s="2"/>
    </row>
    <row r="4592" spans="1:8" x14ac:dyDescent="0.25">
      <c r="A4592" s="1"/>
      <c r="H4592" s="2"/>
    </row>
    <row r="4593" spans="1:8" x14ac:dyDescent="0.25">
      <c r="A4593" s="1"/>
      <c r="H4593" s="2"/>
    </row>
    <row r="4594" spans="1:8" x14ac:dyDescent="0.25">
      <c r="A4594" s="1"/>
      <c r="H4594" s="2"/>
    </row>
    <row r="4595" spans="1:8" x14ac:dyDescent="0.25">
      <c r="A4595" s="1"/>
      <c r="H4595" s="2"/>
    </row>
    <row r="4596" spans="1:8" x14ac:dyDescent="0.25">
      <c r="A4596" s="1"/>
      <c r="H4596" s="2"/>
    </row>
    <row r="4597" spans="1:8" x14ac:dyDescent="0.25">
      <c r="A4597" s="1"/>
      <c r="H4597" s="2"/>
    </row>
    <row r="4598" spans="1:8" x14ac:dyDescent="0.25">
      <c r="A4598" s="1"/>
      <c r="H4598" s="2"/>
    </row>
    <row r="4599" spans="1:8" x14ac:dyDescent="0.25">
      <c r="A4599" s="1"/>
      <c r="H4599" s="2"/>
    </row>
    <row r="4600" spans="1:8" x14ac:dyDescent="0.25">
      <c r="A4600" s="1"/>
      <c r="H4600" s="2"/>
    </row>
    <row r="4601" spans="1:8" x14ac:dyDescent="0.25">
      <c r="A4601" s="1"/>
      <c r="H4601" s="2"/>
    </row>
    <row r="4602" spans="1:8" x14ac:dyDescent="0.25">
      <c r="A4602" s="1"/>
      <c r="H4602" s="2"/>
    </row>
    <row r="4603" spans="1:8" x14ac:dyDescent="0.25">
      <c r="A4603" s="1"/>
      <c r="H4603" s="2"/>
    </row>
    <row r="4604" spans="1:8" x14ac:dyDescent="0.25">
      <c r="A4604" s="1"/>
      <c r="H4604" s="2"/>
    </row>
    <row r="4605" spans="1:8" x14ac:dyDescent="0.25">
      <c r="A4605" s="1"/>
      <c r="H4605" s="2"/>
    </row>
    <row r="4606" spans="1:8" x14ac:dyDescent="0.25">
      <c r="A4606" s="1"/>
      <c r="H4606" s="2"/>
    </row>
    <row r="4607" spans="1:8" x14ac:dyDescent="0.25">
      <c r="A4607" s="1"/>
      <c r="H4607" s="2"/>
    </row>
    <row r="4608" spans="1:8" x14ac:dyDescent="0.25">
      <c r="A4608" s="1"/>
      <c r="H4608" s="2"/>
    </row>
    <row r="4609" spans="1:8" x14ac:dyDescent="0.25">
      <c r="A4609" s="1"/>
      <c r="H4609" s="2"/>
    </row>
    <row r="4610" spans="1:8" x14ac:dyDescent="0.25">
      <c r="A4610" s="1"/>
      <c r="H4610" s="2"/>
    </row>
    <row r="4611" spans="1:8" x14ac:dyDescent="0.25">
      <c r="A4611" s="1"/>
      <c r="H4611" s="2"/>
    </row>
    <row r="4612" spans="1:8" x14ac:dyDescent="0.25">
      <c r="A4612" s="1"/>
      <c r="H4612" s="2"/>
    </row>
    <row r="4613" spans="1:8" x14ac:dyDescent="0.25">
      <c r="A4613" s="1"/>
      <c r="H4613" s="2"/>
    </row>
    <row r="4614" spans="1:8" x14ac:dyDescent="0.25">
      <c r="A4614" s="1"/>
      <c r="H4614" s="2"/>
    </row>
    <row r="4615" spans="1:8" x14ac:dyDescent="0.25">
      <c r="A4615" s="1"/>
      <c r="H4615" s="2"/>
    </row>
    <row r="4616" spans="1:8" x14ac:dyDescent="0.25">
      <c r="A4616" s="1"/>
      <c r="H4616" s="2"/>
    </row>
    <row r="4617" spans="1:8" x14ac:dyDescent="0.25">
      <c r="A4617" s="1"/>
      <c r="H4617" s="2"/>
    </row>
    <row r="4618" spans="1:8" x14ac:dyDescent="0.25">
      <c r="A4618" s="1"/>
      <c r="H4618" s="2"/>
    </row>
    <row r="4619" spans="1:8" x14ac:dyDescent="0.25">
      <c r="A4619" s="1"/>
      <c r="H4619" s="2"/>
    </row>
    <row r="4620" spans="1:8" x14ac:dyDescent="0.25">
      <c r="A4620" s="1"/>
      <c r="H4620" s="2"/>
    </row>
    <row r="4621" spans="1:8" x14ac:dyDescent="0.25">
      <c r="A4621" s="1"/>
      <c r="H4621" s="2"/>
    </row>
    <row r="4622" spans="1:8" x14ac:dyDescent="0.25">
      <c r="A4622" s="1"/>
      <c r="H4622" s="2"/>
    </row>
    <row r="4623" spans="1:8" x14ac:dyDescent="0.25">
      <c r="A4623" s="1"/>
      <c r="H4623" s="2"/>
    </row>
    <row r="4624" spans="1:8" x14ac:dyDescent="0.25">
      <c r="A4624" s="1"/>
      <c r="H4624" s="2"/>
    </row>
    <row r="4625" spans="1:8" x14ac:dyDescent="0.25">
      <c r="A4625" s="1"/>
      <c r="H4625" s="2"/>
    </row>
    <row r="4626" spans="1:8" x14ac:dyDescent="0.25">
      <c r="A4626" s="1"/>
      <c r="H4626" s="2"/>
    </row>
    <row r="4627" spans="1:8" x14ac:dyDescent="0.25">
      <c r="A4627" s="1"/>
      <c r="H4627" s="2"/>
    </row>
    <row r="4628" spans="1:8" x14ac:dyDescent="0.25">
      <c r="A4628" s="1"/>
      <c r="H4628" s="2"/>
    </row>
    <row r="4629" spans="1:8" x14ac:dyDescent="0.25">
      <c r="A4629" s="1"/>
      <c r="H4629" s="2"/>
    </row>
    <row r="4630" spans="1:8" x14ac:dyDescent="0.25">
      <c r="A4630" s="1"/>
      <c r="H4630" s="2"/>
    </row>
    <row r="4631" spans="1:8" x14ac:dyDescent="0.25">
      <c r="A4631" s="1"/>
      <c r="H4631" s="2"/>
    </row>
    <row r="4632" spans="1:8" x14ac:dyDescent="0.25">
      <c r="A4632" s="1"/>
      <c r="H4632" s="2"/>
    </row>
    <row r="4633" spans="1:8" x14ac:dyDescent="0.25">
      <c r="A4633" s="1"/>
      <c r="H4633" s="2"/>
    </row>
    <row r="4634" spans="1:8" x14ac:dyDescent="0.25">
      <c r="A4634" s="1"/>
      <c r="H4634" s="2"/>
    </row>
    <row r="4635" spans="1:8" x14ac:dyDescent="0.25">
      <c r="A4635" s="1"/>
      <c r="H4635" s="2"/>
    </row>
    <row r="4636" spans="1:8" x14ac:dyDescent="0.25">
      <c r="A4636" s="1"/>
      <c r="H4636" s="2"/>
    </row>
    <row r="4637" spans="1:8" x14ac:dyDescent="0.25">
      <c r="A4637" s="1"/>
      <c r="H4637" s="2"/>
    </row>
    <row r="4638" spans="1:8" x14ac:dyDescent="0.25">
      <c r="A4638" s="1"/>
      <c r="H4638" s="2"/>
    </row>
    <row r="4639" spans="1:8" x14ac:dyDescent="0.25">
      <c r="A4639" s="1"/>
      <c r="H4639" s="2"/>
    </row>
    <row r="4640" spans="1:8" x14ac:dyDescent="0.25">
      <c r="A4640" s="1"/>
      <c r="H4640" s="2"/>
    </row>
    <row r="4641" spans="1:8" x14ac:dyDescent="0.25">
      <c r="A4641" s="1"/>
      <c r="H4641" s="2"/>
    </row>
    <row r="4642" spans="1:8" x14ac:dyDescent="0.25">
      <c r="A4642" s="1"/>
      <c r="H4642" s="2"/>
    </row>
    <row r="4643" spans="1:8" x14ac:dyDescent="0.25">
      <c r="A4643" s="1"/>
      <c r="H4643" s="2"/>
    </row>
    <row r="4644" spans="1:8" x14ac:dyDescent="0.25">
      <c r="A4644" s="1"/>
      <c r="H4644" s="2"/>
    </row>
    <row r="4645" spans="1:8" x14ac:dyDescent="0.25">
      <c r="A4645" s="1"/>
      <c r="H4645" s="2"/>
    </row>
    <row r="4646" spans="1:8" x14ac:dyDescent="0.25">
      <c r="A4646" s="1"/>
      <c r="H4646" s="2"/>
    </row>
    <row r="4647" spans="1:8" x14ac:dyDescent="0.25">
      <c r="A4647" s="1"/>
      <c r="H4647" s="2"/>
    </row>
    <row r="4648" spans="1:8" x14ac:dyDescent="0.25">
      <c r="A4648" s="1"/>
      <c r="H4648" s="2"/>
    </row>
    <row r="4649" spans="1:8" x14ac:dyDescent="0.25">
      <c r="A4649" s="1"/>
      <c r="H4649" s="2"/>
    </row>
    <row r="4650" spans="1:8" x14ac:dyDescent="0.25">
      <c r="A4650" s="1"/>
      <c r="H4650" s="2"/>
    </row>
    <row r="4651" spans="1:8" x14ac:dyDescent="0.25">
      <c r="A4651" s="1"/>
      <c r="H4651" s="2"/>
    </row>
    <row r="4652" spans="1:8" x14ac:dyDescent="0.25">
      <c r="A4652" s="1"/>
      <c r="H4652" s="2"/>
    </row>
    <row r="4653" spans="1:8" x14ac:dyDescent="0.25">
      <c r="A4653" s="1"/>
      <c r="H4653" s="2"/>
    </row>
    <row r="4654" spans="1:8" x14ac:dyDescent="0.25">
      <c r="A4654" s="1"/>
      <c r="H4654" s="2"/>
    </row>
    <row r="4655" spans="1:8" x14ac:dyDescent="0.25">
      <c r="A4655" s="1"/>
      <c r="H4655" s="2"/>
    </row>
    <row r="4656" spans="1:8" x14ac:dyDescent="0.25">
      <c r="A4656" s="1"/>
      <c r="H4656" s="2"/>
    </row>
    <row r="4657" spans="1:8" x14ac:dyDescent="0.25">
      <c r="A4657" s="1"/>
      <c r="H4657" s="2"/>
    </row>
    <row r="4658" spans="1:8" x14ac:dyDescent="0.25">
      <c r="A4658" s="1"/>
      <c r="H4658" s="2"/>
    </row>
    <row r="4659" spans="1:8" x14ac:dyDescent="0.25">
      <c r="A4659" s="1"/>
      <c r="H4659" s="2"/>
    </row>
    <row r="4660" spans="1:8" x14ac:dyDescent="0.25">
      <c r="A4660" s="1"/>
      <c r="H4660" s="2"/>
    </row>
    <row r="4661" spans="1:8" x14ac:dyDescent="0.25">
      <c r="A4661" s="1"/>
      <c r="H4661" s="2"/>
    </row>
    <row r="4662" spans="1:8" x14ac:dyDescent="0.25">
      <c r="A4662" s="1"/>
      <c r="H4662" s="2"/>
    </row>
    <row r="4663" spans="1:8" x14ac:dyDescent="0.25">
      <c r="A4663" s="1"/>
      <c r="H4663" s="2"/>
    </row>
    <row r="4664" spans="1:8" x14ac:dyDescent="0.25">
      <c r="A4664" s="1"/>
      <c r="H4664" s="2"/>
    </row>
    <row r="4665" spans="1:8" x14ac:dyDescent="0.25">
      <c r="A4665" s="1"/>
      <c r="H4665" s="2"/>
    </row>
    <row r="4666" spans="1:8" x14ac:dyDescent="0.25">
      <c r="A4666" s="1"/>
      <c r="H4666" s="2"/>
    </row>
    <row r="4667" spans="1:8" x14ac:dyDescent="0.25">
      <c r="A4667" s="1"/>
      <c r="H4667" s="2"/>
    </row>
    <row r="4668" spans="1:8" x14ac:dyDescent="0.25">
      <c r="A4668" s="1"/>
      <c r="H4668" s="2"/>
    </row>
    <row r="4669" spans="1:8" x14ac:dyDescent="0.25">
      <c r="A4669" s="1"/>
      <c r="H4669" s="2"/>
    </row>
    <row r="4670" spans="1:8" x14ac:dyDescent="0.25">
      <c r="A4670" s="1"/>
      <c r="H4670" s="2"/>
    </row>
    <row r="4671" spans="1:8" x14ac:dyDescent="0.25">
      <c r="A4671" s="1"/>
      <c r="H4671" s="2"/>
    </row>
    <row r="4672" spans="1:8" x14ac:dyDescent="0.25">
      <c r="A4672" s="1"/>
      <c r="H4672" s="2"/>
    </row>
    <row r="4673" spans="1:8" x14ac:dyDescent="0.25">
      <c r="A4673" s="1"/>
      <c r="H4673" s="2"/>
    </row>
    <row r="4674" spans="1:8" x14ac:dyDescent="0.25">
      <c r="A4674" s="1"/>
      <c r="H4674" s="2"/>
    </row>
    <row r="4675" spans="1:8" x14ac:dyDescent="0.25">
      <c r="A4675" s="1"/>
      <c r="H4675" s="2"/>
    </row>
    <row r="4676" spans="1:8" x14ac:dyDescent="0.25">
      <c r="A4676" s="1"/>
      <c r="H4676" s="2"/>
    </row>
    <row r="4677" spans="1:8" x14ac:dyDescent="0.25">
      <c r="A4677" s="1"/>
      <c r="H4677" s="2"/>
    </row>
    <row r="4678" spans="1:8" x14ac:dyDescent="0.25">
      <c r="A4678" s="1"/>
      <c r="H4678" s="2"/>
    </row>
    <row r="4679" spans="1:8" x14ac:dyDescent="0.25">
      <c r="A4679" s="1"/>
      <c r="H4679" s="2"/>
    </row>
    <row r="4680" spans="1:8" x14ac:dyDescent="0.25">
      <c r="A4680" s="1"/>
      <c r="H4680" s="2"/>
    </row>
    <row r="4681" spans="1:8" x14ac:dyDescent="0.25">
      <c r="A4681" s="1"/>
      <c r="H4681" s="2"/>
    </row>
    <row r="4682" spans="1:8" x14ac:dyDescent="0.25">
      <c r="A4682" s="1"/>
      <c r="H4682" s="2"/>
    </row>
    <row r="4683" spans="1:8" x14ac:dyDescent="0.25">
      <c r="A4683" s="1"/>
      <c r="H4683" s="2"/>
    </row>
    <row r="4684" spans="1:8" x14ac:dyDescent="0.25">
      <c r="A4684" s="1"/>
      <c r="H4684" s="2"/>
    </row>
    <row r="4685" spans="1:8" x14ac:dyDescent="0.25">
      <c r="A4685" s="1"/>
      <c r="H4685" s="2"/>
    </row>
    <row r="4686" spans="1:8" x14ac:dyDescent="0.25">
      <c r="A4686" s="1"/>
      <c r="H4686" s="2"/>
    </row>
    <row r="4687" spans="1:8" x14ac:dyDescent="0.25">
      <c r="A4687" s="1"/>
      <c r="H4687" s="2"/>
    </row>
    <row r="4688" spans="1:8" x14ac:dyDescent="0.25">
      <c r="A4688" s="1"/>
      <c r="H4688" s="2"/>
    </row>
    <row r="4689" spans="1:8" x14ac:dyDescent="0.25">
      <c r="A4689" s="1"/>
      <c r="H4689" s="2"/>
    </row>
    <row r="4690" spans="1:8" x14ac:dyDescent="0.25">
      <c r="A4690" s="1"/>
      <c r="H4690" s="2"/>
    </row>
    <row r="4691" spans="1:8" x14ac:dyDescent="0.25">
      <c r="A4691" s="1"/>
      <c r="H4691" s="2"/>
    </row>
    <row r="4692" spans="1:8" x14ac:dyDescent="0.25">
      <c r="A4692" s="1"/>
      <c r="H4692" s="2"/>
    </row>
    <row r="4693" spans="1:8" x14ac:dyDescent="0.25">
      <c r="A4693" s="1"/>
      <c r="H4693" s="2"/>
    </row>
    <row r="4694" spans="1:8" x14ac:dyDescent="0.25">
      <c r="A4694" s="1"/>
      <c r="H4694" s="2"/>
    </row>
    <row r="4695" spans="1:8" x14ac:dyDescent="0.25">
      <c r="A4695" s="1"/>
      <c r="H4695" s="2"/>
    </row>
    <row r="4696" spans="1:8" x14ac:dyDescent="0.25">
      <c r="A4696" s="1"/>
      <c r="H4696" s="2"/>
    </row>
    <row r="4697" spans="1:8" x14ac:dyDescent="0.25">
      <c r="A4697" s="1"/>
      <c r="H4697" s="2"/>
    </row>
    <row r="4698" spans="1:8" x14ac:dyDescent="0.25">
      <c r="A4698" s="1"/>
      <c r="H4698" s="2"/>
    </row>
    <row r="4699" spans="1:8" x14ac:dyDescent="0.25">
      <c r="A4699" s="1"/>
      <c r="H4699" s="2"/>
    </row>
    <row r="4700" spans="1:8" x14ac:dyDescent="0.25">
      <c r="A4700" s="1"/>
      <c r="H4700" s="2"/>
    </row>
    <row r="4701" spans="1:8" x14ac:dyDescent="0.25">
      <c r="A4701" s="1"/>
      <c r="H4701" s="2"/>
    </row>
    <row r="4702" spans="1:8" x14ac:dyDescent="0.25">
      <c r="A4702" s="1"/>
      <c r="H4702" s="2"/>
    </row>
    <row r="4703" spans="1:8" x14ac:dyDescent="0.25">
      <c r="A4703" s="1"/>
      <c r="H4703" s="2"/>
    </row>
    <row r="4704" spans="1:8" x14ac:dyDescent="0.25">
      <c r="A4704" s="1"/>
      <c r="H4704" s="2"/>
    </row>
    <row r="4705" spans="1:8" x14ac:dyDescent="0.25">
      <c r="A4705" s="1"/>
      <c r="H4705" s="2"/>
    </row>
    <row r="4706" spans="1:8" x14ac:dyDescent="0.25">
      <c r="A4706" s="1"/>
      <c r="H4706" s="2"/>
    </row>
    <row r="4707" spans="1:8" x14ac:dyDescent="0.25">
      <c r="A4707" s="1"/>
      <c r="H4707" s="2"/>
    </row>
    <row r="4708" spans="1:8" x14ac:dyDescent="0.25">
      <c r="A4708" s="1"/>
      <c r="H4708" s="2"/>
    </row>
    <row r="4709" spans="1:8" x14ac:dyDescent="0.25">
      <c r="A4709" s="1"/>
      <c r="H4709" s="2"/>
    </row>
    <row r="4710" spans="1:8" x14ac:dyDescent="0.25">
      <c r="A4710" s="1"/>
      <c r="H4710" s="2"/>
    </row>
    <row r="4711" spans="1:8" x14ac:dyDescent="0.25">
      <c r="A4711" s="1"/>
      <c r="H4711" s="2"/>
    </row>
    <row r="4712" spans="1:8" x14ac:dyDescent="0.25">
      <c r="A4712" s="1"/>
      <c r="H4712" s="2"/>
    </row>
    <row r="4713" spans="1:8" x14ac:dyDescent="0.25">
      <c r="A4713" s="1"/>
      <c r="H4713" s="2"/>
    </row>
    <row r="4714" spans="1:8" x14ac:dyDescent="0.25">
      <c r="A4714" s="1"/>
      <c r="H4714" s="2"/>
    </row>
    <row r="4715" spans="1:8" x14ac:dyDescent="0.25">
      <c r="A4715" s="1"/>
      <c r="H4715" s="2"/>
    </row>
    <row r="4716" spans="1:8" x14ac:dyDescent="0.25">
      <c r="A4716" s="1"/>
      <c r="H4716" s="2"/>
    </row>
    <row r="4717" spans="1:8" x14ac:dyDescent="0.25">
      <c r="A4717" s="1"/>
      <c r="H4717" s="2"/>
    </row>
    <row r="4718" spans="1:8" x14ac:dyDescent="0.25">
      <c r="A4718" s="1"/>
      <c r="H4718" s="2"/>
    </row>
    <row r="4719" spans="1:8" x14ac:dyDescent="0.25">
      <c r="A4719" s="1"/>
      <c r="H4719" s="2"/>
    </row>
    <row r="4720" spans="1:8" x14ac:dyDescent="0.25">
      <c r="A4720" s="1"/>
      <c r="H4720" s="2"/>
    </row>
    <row r="4721" spans="1:8" x14ac:dyDescent="0.25">
      <c r="A4721" s="1"/>
      <c r="H4721" s="2"/>
    </row>
    <row r="4722" spans="1:8" x14ac:dyDescent="0.25">
      <c r="A4722" s="1"/>
      <c r="H4722" s="2"/>
    </row>
    <row r="4723" spans="1:8" x14ac:dyDescent="0.25">
      <c r="A4723" s="1"/>
      <c r="H4723" s="2"/>
    </row>
    <row r="4724" spans="1:8" x14ac:dyDescent="0.25">
      <c r="A4724" s="1"/>
      <c r="H4724" s="2"/>
    </row>
    <row r="4725" spans="1:8" x14ac:dyDescent="0.25">
      <c r="A4725" s="1"/>
      <c r="H4725" s="2"/>
    </row>
    <row r="4726" spans="1:8" x14ac:dyDescent="0.25">
      <c r="A4726" s="1"/>
      <c r="H4726" s="2"/>
    </row>
    <row r="4727" spans="1:8" x14ac:dyDescent="0.25">
      <c r="A4727" s="1"/>
      <c r="H4727" s="2"/>
    </row>
    <row r="4728" spans="1:8" x14ac:dyDescent="0.25">
      <c r="A4728" s="1"/>
      <c r="H4728" s="2"/>
    </row>
    <row r="4729" spans="1:8" x14ac:dyDescent="0.25">
      <c r="A4729" s="1"/>
      <c r="H4729" s="2"/>
    </row>
    <row r="4730" spans="1:8" x14ac:dyDescent="0.25">
      <c r="A4730" s="1"/>
      <c r="H4730" s="2"/>
    </row>
    <row r="4731" spans="1:8" x14ac:dyDescent="0.25">
      <c r="A4731" s="1"/>
      <c r="H4731" s="2"/>
    </row>
    <row r="4732" spans="1:8" x14ac:dyDescent="0.25">
      <c r="A4732" s="1"/>
      <c r="H4732" s="2"/>
    </row>
    <row r="4733" spans="1:8" x14ac:dyDescent="0.25">
      <c r="A4733" s="1"/>
      <c r="H4733" s="2"/>
    </row>
    <row r="4734" spans="1:8" x14ac:dyDescent="0.25">
      <c r="A4734" s="1"/>
      <c r="H4734" s="2"/>
    </row>
    <row r="4735" spans="1:8" x14ac:dyDescent="0.25">
      <c r="A4735" s="1"/>
      <c r="H4735" s="2"/>
    </row>
    <row r="4736" spans="1:8" x14ac:dyDescent="0.25">
      <c r="A4736" s="1"/>
      <c r="H4736" s="2"/>
    </row>
    <row r="4737" spans="1:8" x14ac:dyDescent="0.25">
      <c r="A4737" s="1"/>
      <c r="H4737" s="2"/>
    </row>
    <row r="4738" spans="1:8" x14ac:dyDescent="0.25">
      <c r="A4738" s="1"/>
      <c r="H4738" s="2"/>
    </row>
    <row r="4739" spans="1:8" x14ac:dyDescent="0.25">
      <c r="A4739" s="1"/>
      <c r="H4739" s="2"/>
    </row>
    <row r="4740" spans="1:8" x14ac:dyDescent="0.25">
      <c r="A4740" s="1"/>
      <c r="H4740" s="2"/>
    </row>
    <row r="4741" spans="1:8" x14ac:dyDescent="0.25">
      <c r="A4741" s="1"/>
      <c r="H4741" s="2"/>
    </row>
    <row r="4742" spans="1:8" x14ac:dyDescent="0.25">
      <c r="A4742" s="1"/>
      <c r="H4742" s="2"/>
    </row>
    <row r="4743" spans="1:8" x14ac:dyDescent="0.25">
      <c r="A4743" s="1"/>
      <c r="H4743" s="2"/>
    </row>
    <row r="4744" spans="1:8" x14ac:dyDescent="0.25">
      <c r="A4744" s="1"/>
      <c r="H4744" s="2"/>
    </row>
    <row r="4745" spans="1:8" x14ac:dyDescent="0.25">
      <c r="A4745" s="1"/>
      <c r="H4745" s="2"/>
    </row>
    <row r="4746" spans="1:8" x14ac:dyDescent="0.25">
      <c r="A4746" s="1"/>
      <c r="H4746" s="2"/>
    </row>
    <row r="4747" spans="1:8" x14ac:dyDescent="0.25">
      <c r="A4747" s="1"/>
      <c r="H4747" s="2"/>
    </row>
    <row r="4748" spans="1:8" x14ac:dyDescent="0.25">
      <c r="A4748" s="1"/>
      <c r="H4748" s="2"/>
    </row>
    <row r="4749" spans="1:8" x14ac:dyDescent="0.25">
      <c r="A4749" s="1"/>
      <c r="H4749" s="2"/>
    </row>
    <row r="4750" spans="1:8" x14ac:dyDescent="0.25">
      <c r="A4750" s="1"/>
      <c r="H4750" s="2"/>
    </row>
    <row r="4751" spans="1:8" x14ac:dyDescent="0.25">
      <c r="A4751" s="1"/>
      <c r="H4751" s="2"/>
    </row>
    <row r="4752" spans="1:8" x14ac:dyDescent="0.25">
      <c r="A4752" s="1"/>
      <c r="H4752" s="2"/>
    </row>
    <row r="4753" spans="1:8" x14ac:dyDescent="0.25">
      <c r="A4753" s="1"/>
      <c r="H4753" s="2"/>
    </row>
    <row r="4754" spans="1:8" x14ac:dyDescent="0.25">
      <c r="A4754" s="1"/>
      <c r="H4754" s="2"/>
    </row>
    <row r="4755" spans="1:8" x14ac:dyDescent="0.25">
      <c r="A4755" s="1"/>
      <c r="H4755" s="2"/>
    </row>
    <row r="4756" spans="1:8" x14ac:dyDescent="0.25">
      <c r="A4756" s="1"/>
      <c r="H4756" s="2"/>
    </row>
    <row r="4757" spans="1:8" x14ac:dyDescent="0.25">
      <c r="A4757" s="1"/>
      <c r="H4757" s="2"/>
    </row>
    <row r="4758" spans="1:8" x14ac:dyDescent="0.25">
      <c r="A4758" s="1"/>
      <c r="H4758" s="2"/>
    </row>
    <row r="4759" spans="1:8" x14ac:dyDescent="0.25">
      <c r="A4759" s="1"/>
      <c r="H4759" s="2"/>
    </row>
    <row r="4760" spans="1:8" x14ac:dyDescent="0.25">
      <c r="A4760" s="1"/>
      <c r="H4760" s="2"/>
    </row>
    <row r="4761" spans="1:8" x14ac:dyDescent="0.25">
      <c r="A4761" s="1"/>
      <c r="H4761" s="2"/>
    </row>
    <row r="4762" spans="1:8" x14ac:dyDescent="0.25">
      <c r="A4762" s="1"/>
      <c r="H4762" s="2"/>
    </row>
    <row r="4763" spans="1:8" x14ac:dyDescent="0.25">
      <c r="A4763" s="1"/>
      <c r="H4763" s="2"/>
    </row>
    <row r="4764" spans="1:8" x14ac:dyDescent="0.25">
      <c r="A4764" s="1"/>
      <c r="H4764" s="2"/>
    </row>
    <row r="4765" spans="1:8" x14ac:dyDescent="0.25">
      <c r="A4765" s="1"/>
      <c r="H4765" s="2"/>
    </row>
    <row r="4766" spans="1:8" x14ac:dyDescent="0.25">
      <c r="A4766" s="1"/>
      <c r="H4766" s="2"/>
    </row>
    <row r="4767" spans="1:8" x14ac:dyDescent="0.25">
      <c r="A4767" s="1"/>
      <c r="H4767" s="2"/>
    </row>
    <row r="4768" spans="1:8" x14ac:dyDescent="0.25">
      <c r="A4768" s="1"/>
      <c r="H4768" s="2"/>
    </row>
    <row r="4769" spans="1:8" x14ac:dyDescent="0.25">
      <c r="A4769" s="1"/>
      <c r="H4769" s="2"/>
    </row>
    <row r="4770" spans="1:8" x14ac:dyDescent="0.25">
      <c r="A4770" s="1"/>
      <c r="H4770" s="2"/>
    </row>
    <row r="4771" spans="1:8" x14ac:dyDescent="0.25">
      <c r="A4771" s="1"/>
      <c r="H4771" s="2"/>
    </row>
    <row r="4772" spans="1:8" x14ac:dyDescent="0.25">
      <c r="A4772" s="1"/>
      <c r="H4772" s="2"/>
    </row>
    <row r="4773" spans="1:8" x14ac:dyDescent="0.25">
      <c r="A4773" s="1"/>
      <c r="H4773" s="2"/>
    </row>
    <row r="4774" spans="1:8" x14ac:dyDescent="0.25">
      <c r="A4774" s="1"/>
      <c r="H4774" s="2"/>
    </row>
    <row r="4775" spans="1:8" x14ac:dyDescent="0.25">
      <c r="A4775" s="1"/>
      <c r="H4775" s="2"/>
    </row>
    <row r="4776" spans="1:8" x14ac:dyDescent="0.25">
      <c r="A4776" s="1"/>
      <c r="H4776" s="2"/>
    </row>
    <row r="4777" spans="1:8" x14ac:dyDescent="0.25">
      <c r="A4777" s="1"/>
      <c r="H4777" s="2"/>
    </row>
    <row r="4778" spans="1:8" x14ac:dyDescent="0.25">
      <c r="A4778" s="1"/>
      <c r="H4778" s="2"/>
    </row>
    <row r="4779" spans="1:8" x14ac:dyDescent="0.25">
      <c r="A4779" s="1"/>
      <c r="H4779" s="2"/>
    </row>
    <row r="4780" spans="1:8" x14ac:dyDescent="0.25">
      <c r="A4780" s="1"/>
      <c r="H4780" s="2"/>
    </row>
    <row r="4781" spans="1:8" x14ac:dyDescent="0.25">
      <c r="A4781" s="1"/>
      <c r="H4781" s="2"/>
    </row>
    <row r="4782" spans="1:8" x14ac:dyDescent="0.25">
      <c r="A4782" s="1"/>
      <c r="H4782" s="2"/>
    </row>
    <row r="4783" spans="1:8" x14ac:dyDescent="0.25">
      <c r="A4783" s="1"/>
      <c r="H4783" s="2"/>
    </row>
    <row r="4784" spans="1:8" x14ac:dyDescent="0.25">
      <c r="A4784" s="1"/>
      <c r="H4784" s="2"/>
    </row>
    <row r="4785" spans="1:8" x14ac:dyDescent="0.25">
      <c r="A4785" s="1"/>
      <c r="H4785" s="2"/>
    </row>
    <row r="4786" spans="1:8" x14ac:dyDescent="0.25">
      <c r="A4786" s="1"/>
      <c r="H4786" s="2"/>
    </row>
    <row r="4787" spans="1:8" x14ac:dyDescent="0.25">
      <c r="A4787" s="1"/>
      <c r="H4787" s="2"/>
    </row>
    <row r="4788" spans="1:8" x14ac:dyDescent="0.25">
      <c r="A4788" s="1"/>
      <c r="H4788" s="2"/>
    </row>
    <row r="4789" spans="1:8" x14ac:dyDescent="0.25">
      <c r="A4789" s="1"/>
      <c r="H4789" s="2"/>
    </row>
    <row r="4790" spans="1:8" x14ac:dyDescent="0.25">
      <c r="A4790" s="1"/>
      <c r="H4790" s="2"/>
    </row>
    <row r="4791" spans="1:8" x14ac:dyDescent="0.25">
      <c r="A4791" s="1"/>
      <c r="H4791" s="2"/>
    </row>
    <row r="4792" spans="1:8" x14ac:dyDescent="0.25">
      <c r="A4792" s="1"/>
      <c r="H4792" s="2"/>
    </row>
    <row r="4793" spans="1:8" x14ac:dyDescent="0.25">
      <c r="A4793" s="1"/>
      <c r="H4793" s="2"/>
    </row>
    <row r="4794" spans="1:8" x14ac:dyDescent="0.25">
      <c r="A4794" s="1"/>
      <c r="H4794" s="2"/>
    </row>
    <row r="4795" spans="1:8" x14ac:dyDescent="0.25">
      <c r="A4795" s="1"/>
      <c r="H4795" s="2"/>
    </row>
    <row r="4796" spans="1:8" x14ac:dyDescent="0.25">
      <c r="A4796" s="1"/>
      <c r="H4796" s="2"/>
    </row>
    <row r="4797" spans="1:8" x14ac:dyDescent="0.25">
      <c r="A4797" s="1"/>
      <c r="H4797" s="2"/>
    </row>
    <row r="4798" spans="1:8" x14ac:dyDescent="0.25">
      <c r="A4798" s="1"/>
      <c r="H4798" s="2"/>
    </row>
    <row r="4799" spans="1:8" x14ac:dyDescent="0.25">
      <c r="A4799" s="1"/>
      <c r="H4799" s="2"/>
    </row>
    <row r="4800" spans="1:8" x14ac:dyDescent="0.25">
      <c r="A4800" s="1"/>
      <c r="H4800" s="2"/>
    </row>
    <row r="4801" spans="1:8" x14ac:dyDescent="0.25">
      <c r="A4801" s="1"/>
      <c r="H4801" s="2"/>
    </row>
    <row r="4802" spans="1:8" x14ac:dyDescent="0.25">
      <c r="A4802" s="1"/>
      <c r="H4802" s="2"/>
    </row>
    <row r="4803" spans="1:8" x14ac:dyDescent="0.25">
      <c r="A4803" s="1"/>
      <c r="H4803" s="2"/>
    </row>
    <row r="4804" spans="1:8" x14ac:dyDescent="0.25">
      <c r="A4804" s="1"/>
      <c r="H4804" s="2"/>
    </row>
    <row r="4805" spans="1:8" x14ac:dyDescent="0.25">
      <c r="A4805" s="1"/>
      <c r="H4805" s="2"/>
    </row>
    <row r="4806" spans="1:8" x14ac:dyDescent="0.25">
      <c r="A4806" s="1"/>
      <c r="H4806" s="2"/>
    </row>
    <row r="4807" spans="1:8" x14ac:dyDescent="0.25">
      <c r="A4807" s="1"/>
      <c r="H4807" s="2"/>
    </row>
    <row r="4808" spans="1:8" x14ac:dyDescent="0.25">
      <c r="A4808" s="1"/>
      <c r="H4808" s="2"/>
    </row>
    <row r="4809" spans="1:8" x14ac:dyDescent="0.25">
      <c r="A4809" s="1"/>
      <c r="H4809" s="2"/>
    </row>
    <row r="4810" spans="1:8" x14ac:dyDescent="0.25">
      <c r="A4810" s="1"/>
      <c r="H4810" s="2"/>
    </row>
    <row r="4811" spans="1:8" x14ac:dyDescent="0.25">
      <c r="A4811" s="1"/>
      <c r="H4811" s="2"/>
    </row>
    <row r="4812" spans="1:8" x14ac:dyDescent="0.25">
      <c r="A4812" s="1"/>
      <c r="H4812" s="2"/>
    </row>
    <row r="4813" spans="1:8" x14ac:dyDescent="0.25">
      <c r="A4813" s="1"/>
      <c r="H4813" s="2"/>
    </row>
    <row r="4814" spans="1:8" x14ac:dyDescent="0.25">
      <c r="A4814" s="1"/>
      <c r="H4814" s="2"/>
    </row>
    <row r="4815" spans="1:8" x14ac:dyDescent="0.25">
      <c r="A4815" s="1"/>
      <c r="H4815" s="2"/>
    </row>
    <row r="4816" spans="1:8" x14ac:dyDescent="0.25">
      <c r="A4816" s="1"/>
      <c r="H4816" s="2"/>
    </row>
    <row r="4817" spans="1:8" x14ac:dyDescent="0.25">
      <c r="A4817" s="1"/>
      <c r="H4817" s="2"/>
    </row>
    <row r="4818" spans="1:8" x14ac:dyDescent="0.25">
      <c r="A4818" s="1"/>
      <c r="H4818" s="2"/>
    </row>
    <row r="4819" spans="1:8" x14ac:dyDescent="0.25">
      <c r="A4819" s="1"/>
      <c r="H4819" s="2"/>
    </row>
    <row r="4820" spans="1:8" x14ac:dyDescent="0.25">
      <c r="A4820" s="1"/>
      <c r="H4820" s="2"/>
    </row>
    <row r="4821" spans="1:8" x14ac:dyDescent="0.25">
      <c r="A4821" s="1"/>
      <c r="H4821" s="2"/>
    </row>
    <row r="4822" spans="1:8" x14ac:dyDescent="0.25">
      <c r="A4822" s="1"/>
      <c r="H4822" s="2"/>
    </row>
    <row r="4823" spans="1:8" x14ac:dyDescent="0.25">
      <c r="A4823" s="1"/>
      <c r="H4823" s="2"/>
    </row>
    <row r="4824" spans="1:8" x14ac:dyDescent="0.25">
      <c r="A4824" s="1"/>
      <c r="H4824" s="2"/>
    </row>
    <row r="4825" spans="1:8" x14ac:dyDescent="0.25">
      <c r="A4825" s="1"/>
      <c r="H4825" s="2"/>
    </row>
    <row r="4826" spans="1:8" x14ac:dyDescent="0.25">
      <c r="A4826" s="1"/>
      <c r="H4826" s="2"/>
    </row>
    <row r="4827" spans="1:8" x14ac:dyDescent="0.25">
      <c r="A4827" s="1"/>
      <c r="H4827" s="2"/>
    </row>
    <row r="4828" spans="1:8" x14ac:dyDescent="0.25">
      <c r="A4828" s="1"/>
      <c r="H4828" s="2"/>
    </row>
    <row r="4829" spans="1:8" x14ac:dyDescent="0.25">
      <c r="A4829" s="1"/>
      <c r="H4829" s="2"/>
    </row>
    <row r="4830" spans="1:8" x14ac:dyDescent="0.25">
      <c r="A4830" s="1"/>
      <c r="H4830" s="2"/>
    </row>
    <row r="4831" spans="1:8" x14ac:dyDescent="0.25">
      <c r="A4831" s="1"/>
      <c r="H4831" s="2"/>
    </row>
    <row r="4832" spans="1:8" x14ac:dyDescent="0.25">
      <c r="A4832" s="1"/>
      <c r="H4832" s="2"/>
    </row>
    <row r="4833" spans="1:8" x14ac:dyDescent="0.25">
      <c r="A4833" s="1"/>
      <c r="H4833" s="2"/>
    </row>
    <row r="4834" spans="1:8" x14ac:dyDescent="0.25">
      <c r="A4834" s="1"/>
      <c r="H4834" s="2"/>
    </row>
    <row r="4835" spans="1:8" x14ac:dyDescent="0.25">
      <c r="A4835" s="1"/>
      <c r="H4835" s="2"/>
    </row>
    <row r="4836" spans="1:8" x14ac:dyDescent="0.25">
      <c r="A4836" s="1"/>
      <c r="H4836" s="2"/>
    </row>
    <row r="4837" spans="1:8" x14ac:dyDescent="0.25">
      <c r="A4837" s="1"/>
      <c r="H4837" s="2"/>
    </row>
    <row r="4838" spans="1:8" x14ac:dyDescent="0.25">
      <c r="A4838" s="1"/>
      <c r="H4838" s="2"/>
    </row>
    <row r="4839" spans="1:8" x14ac:dyDescent="0.25">
      <c r="A4839" s="1"/>
      <c r="H4839" s="2"/>
    </row>
    <row r="4840" spans="1:8" x14ac:dyDescent="0.25">
      <c r="A4840" s="1"/>
      <c r="H4840" s="2"/>
    </row>
    <row r="4841" spans="1:8" x14ac:dyDescent="0.25">
      <c r="A4841" s="1"/>
      <c r="H4841" s="2"/>
    </row>
    <row r="4842" spans="1:8" x14ac:dyDescent="0.25">
      <c r="A4842" s="1"/>
      <c r="H4842" s="2"/>
    </row>
    <row r="4843" spans="1:8" x14ac:dyDescent="0.25">
      <c r="A4843" s="1"/>
      <c r="H4843" s="2"/>
    </row>
    <row r="4844" spans="1:8" x14ac:dyDescent="0.25">
      <c r="A4844" s="1"/>
      <c r="H4844" s="2"/>
    </row>
    <row r="4845" spans="1:8" x14ac:dyDescent="0.25">
      <c r="A4845" s="1"/>
      <c r="H4845" s="2"/>
    </row>
    <row r="4846" spans="1:8" x14ac:dyDescent="0.25">
      <c r="A4846" s="1"/>
      <c r="H4846" s="2"/>
    </row>
    <row r="4847" spans="1:8" x14ac:dyDescent="0.25">
      <c r="A4847" s="1"/>
      <c r="H4847" s="2"/>
    </row>
    <row r="4848" spans="1:8" x14ac:dyDescent="0.25">
      <c r="A4848" s="1"/>
      <c r="H4848" s="2"/>
    </row>
    <row r="4849" spans="1:8" x14ac:dyDescent="0.25">
      <c r="A4849" s="1"/>
      <c r="H4849" s="2"/>
    </row>
    <row r="4850" spans="1:8" x14ac:dyDescent="0.25">
      <c r="A4850" s="1"/>
      <c r="H4850" s="2"/>
    </row>
    <row r="4851" spans="1:8" x14ac:dyDescent="0.25">
      <c r="A4851" s="1"/>
      <c r="H4851" s="2"/>
    </row>
    <row r="4852" spans="1:8" x14ac:dyDescent="0.25">
      <c r="A4852" s="1"/>
      <c r="H4852" s="2"/>
    </row>
    <row r="4853" spans="1:8" x14ac:dyDescent="0.25">
      <c r="A4853" s="1"/>
      <c r="H4853" s="2"/>
    </row>
    <row r="4854" spans="1:8" x14ac:dyDescent="0.25">
      <c r="A4854" s="1"/>
      <c r="H4854" s="2"/>
    </row>
    <row r="4855" spans="1:8" x14ac:dyDescent="0.25">
      <c r="A4855" s="1"/>
      <c r="H4855" s="2"/>
    </row>
    <row r="4856" spans="1:8" x14ac:dyDescent="0.25">
      <c r="A4856" s="1"/>
      <c r="H4856" s="2"/>
    </row>
    <row r="4857" spans="1:8" x14ac:dyDescent="0.25">
      <c r="A4857" s="1"/>
      <c r="H4857" s="2"/>
    </row>
    <row r="4858" spans="1:8" x14ac:dyDescent="0.25">
      <c r="A4858" s="1"/>
      <c r="H4858" s="2"/>
    </row>
    <row r="4859" spans="1:8" x14ac:dyDescent="0.25">
      <c r="A4859" s="1"/>
      <c r="H4859" s="2"/>
    </row>
    <row r="4860" spans="1:8" x14ac:dyDescent="0.25">
      <c r="A4860" s="1"/>
      <c r="H4860" s="2"/>
    </row>
    <row r="4861" spans="1:8" x14ac:dyDescent="0.25">
      <c r="A4861" s="1"/>
      <c r="H4861" s="2"/>
    </row>
    <row r="4862" spans="1:8" x14ac:dyDescent="0.25">
      <c r="A4862" s="1"/>
      <c r="H4862" s="2"/>
    </row>
    <row r="4863" spans="1:8" x14ac:dyDescent="0.25">
      <c r="A4863" s="1"/>
      <c r="H4863" s="2"/>
    </row>
    <row r="4864" spans="1:8" x14ac:dyDescent="0.25">
      <c r="A4864" s="1"/>
      <c r="H4864" s="2"/>
    </row>
    <row r="4865" spans="1:8" x14ac:dyDescent="0.25">
      <c r="A4865" s="1"/>
      <c r="H4865" s="2"/>
    </row>
    <row r="4866" spans="1:8" x14ac:dyDescent="0.25">
      <c r="A4866" s="1"/>
      <c r="H4866" s="2"/>
    </row>
    <row r="4867" spans="1:8" x14ac:dyDescent="0.25">
      <c r="A4867" s="1"/>
      <c r="H4867" s="2"/>
    </row>
    <row r="4868" spans="1:8" x14ac:dyDescent="0.25">
      <c r="A4868" s="1"/>
      <c r="H4868" s="2"/>
    </row>
    <row r="4869" spans="1:8" x14ac:dyDescent="0.25">
      <c r="A4869" s="1"/>
      <c r="H4869" s="2"/>
    </row>
    <row r="4870" spans="1:8" x14ac:dyDescent="0.25">
      <c r="A4870" s="1"/>
      <c r="H4870" s="2"/>
    </row>
    <row r="4871" spans="1:8" x14ac:dyDescent="0.25">
      <c r="A4871" s="1"/>
      <c r="H4871" s="2"/>
    </row>
    <row r="4872" spans="1:8" x14ac:dyDescent="0.25">
      <c r="A4872" s="1"/>
      <c r="H4872" s="2"/>
    </row>
    <row r="4873" spans="1:8" x14ac:dyDescent="0.25">
      <c r="A4873" s="1"/>
      <c r="H4873" s="2"/>
    </row>
    <row r="4874" spans="1:8" x14ac:dyDescent="0.25">
      <c r="A4874" s="1"/>
      <c r="H4874" s="2"/>
    </row>
    <row r="4875" spans="1:8" x14ac:dyDescent="0.25">
      <c r="A4875" s="1"/>
      <c r="H4875" s="2"/>
    </row>
    <row r="4876" spans="1:8" x14ac:dyDescent="0.25">
      <c r="A4876" s="1"/>
      <c r="H4876" s="2"/>
    </row>
    <row r="4877" spans="1:8" x14ac:dyDescent="0.25">
      <c r="A4877" s="1"/>
      <c r="H4877" s="2"/>
    </row>
    <row r="4878" spans="1:8" x14ac:dyDescent="0.25">
      <c r="A4878" s="1"/>
      <c r="H4878" s="2"/>
    </row>
    <row r="4879" spans="1:8" x14ac:dyDescent="0.25">
      <c r="A4879" s="1"/>
      <c r="H4879" s="2"/>
    </row>
    <row r="4880" spans="1:8" x14ac:dyDescent="0.25">
      <c r="A4880" s="1"/>
      <c r="H4880" s="2"/>
    </row>
    <row r="4881" spans="1:8" x14ac:dyDescent="0.25">
      <c r="A4881" s="1"/>
      <c r="H4881" s="2"/>
    </row>
    <row r="4882" spans="1:8" x14ac:dyDescent="0.25">
      <c r="A4882" s="1"/>
      <c r="H4882" s="2"/>
    </row>
    <row r="4883" spans="1:8" x14ac:dyDescent="0.25">
      <c r="A4883" s="1"/>
      <c r="H4883" s="2"/>
    </row>
    <row r="4884" spans="1:8" x14ac:dyDescent="0.25">
      <c r="A4884" s="1"/>
      <c r="H4884" s="2"/>
    </row>
    <row r="4885" spans="1:8" x14ac:dyDescent="0.25">
      <c r="A4885" s="1"/>
      <c r="H4885" s="2"/>
    </row>
    <row r="4886" spans="1:8" x14ac:dyDescent="0.25">
      <c r="A4886" s="1"/>
      <c r="H4886" s="2"/>
    </row>
    <row r="4887" spans="1:8" x14ac:dyDescent="0.25">
      <c r="A4887" s="1"/>
      <c r="H4887" s="2"/>
    </row>
    <row r="4888" spans="1:8" x14ac:dyDescent="0.25">
      <c r="A4888" s="1"/>
      <c r="H4888" s="2"/>
    </row>
    <row r="4889" spans="1:8" x14ac:dyDescent="0.25">
      <c r="A4889" s="1"/>
      <c r="H4889" s="2"/>
    </row>
    <row r="4890" spans="1:8" x14ac:dyDescent="0.25">
      <c r="A4890" s="1"/>
      <c r="H4890" s="2"/>
    </row>
    <row r="4891" spans="1:8" x14ac:dyDescent="0.25">
      <c r="A4891" s="1"/>
      <c r="H4891" s="2"/>
    </row>
    <row r="4892" spans="1:8" x14ac:dyDescent="0.25">
      <c r="A4892" s="1"/>
      <c r="H4892" s="2"/>
    </row>
    <row r="4893" spans="1:8" x14ac:dyDescent="0.25">
      <c r="A4893" s="1"/>
      <c r="H4893" s="2"/>
    </row>
    <row r="4894" spans="1:8" x14ac:dyDescent="0.25">
      <c r="A4894" s="1"/>
      <c r="H4894" s="2"/>
    </row>
    <row r="4895" spans="1:8" x14ac:dyDescent="0.25">
      <c r="A4895" s="1"/>
      <c r="H4895" s="2"/>
    </row>
    <row r="4896" spans="1:8" x14ac:dyDescent="0.25">
      <c r="A4896" s="1"/>
      <c r="H4896" s="2"/>
    </row>
    <row r="4897" spans="1:8" x14ac:dyDescent="0.25">
      <c r="A4897" s="1"/>
      <c r="H4897" s="2"/>
    </row>
    <row r="4898" spans="1:8" x14ac:dyDescent="0.25">
      <c r="A4898" s="1"/>
      <c r="H4898" s="2"/>
    </row>
    <row r="4899" spans="1:8" x14ac:dyDescent="0.25">
      <c r="A4899" s="1"/>
      <c r="H4899" s="2"/>
    </row>
    <row r="4900" spans="1:8" x14ac:dyDescent="0.25">
      <c r="A4900" s="1"/>
      <c r="H4900" s="2"/>
    </row>
    <row r="4901" spans="1:8" x14ac:dyDescent="0.25">
      <c r="A4901" s="1"/>
      <c r="H4901" s="2"/>
    </row>
    <row r="4902" spans="1:8" x14ac:dyDescent="0.25">
      <c r="A4902" s="1"/>
      <c r="H4902" s="2"/>
    </row>
    <row r="4903" spans="1:8" x14ac:dyDescent="0.25">
      <c r="A4903" s="1"/>
      <c r="H4903" s="2"/>
    </row>
    <row r="4904" spans="1:8" x14ac:dyDescent="0.25">
      <c r="A4904" s="1"/>
      <c r="H4904" s="2"/>
    </row>
    <row r="4905" spans="1:8" x14ac:dyDescent="0.25">
      <c r="A4905" s="1"/>
      <c r="H4905" s="2"/>
    </row>
    <row r="4906" spans="1:8" x14ac:dyDescent="0.25">
      <c r="A4906" s="1"/>
      <c r="H4906" s="2"/>
    </row>
    <row r="4907" spans="1:8" x14ac:dyDescent="0.25">
      <c r="A4907" s="1"/>
      <c r="H4907" s="2"/>
    </row>
    <row r="4908" spans="1:8" x14ac:dyDescent="0.25">
      <c r="A4908" s="1"/>
      <c r="H4908" s="2"/>
    </row>
    <row r="4909" spans="1:8" x14ac:dyDescent="0.25">
      <c r="A4909" s="1"/>
      <c r="H4909" s="2"/>
    </row>
    <row r="4910" spans="1:8" x14ac:dyDescent="0.25">
      <c r="A4910" s="1"/>
      <c r="H4910" s="2"/>
    </row>
    <row r="4911" spans="1:8" x14ac:dyDescent="0.25">
      <c r="A4911" s="1"/>
      <c r="H4911" s="2"/>
    </row>
    <row r="4912" spans="1:8" x14ac:dyDescent="0.25">
      <c r="A4912" s="1"/>
      <c r="H4912" s="2"/>
    </row>
    <row r="4913" spans="1:8" x14ac:dyDescent="0.25">
      <c r="A4913" s="1"/>
      <c r="H4913" s="2"/>
    </row>
    <row r="4914" spans="1:8" x14ac:dyDescent="0.25">
      <c r="A4914" s="1"/>
      <c r="H4914" s="2"/>
    </row>
    <row r="4915" spans="1:8" x14ac:dyDescent="0.25">
      <c r="A4915" s="1"/>
      <c r="H4915" s="2"/>
    </row>
    <row r="4916" spans="1:8" x14ac:dyDescent="0.25">
      <c r="A4916" s="1"/>
      <c r="H4916" s="2"/>
    </row>
    <row r="4917" spans="1:8" x14ac:dyDescent="0.25">
      <c r="A4917" s="1"/>
      <c r="H4917" s="2"/>
    </row>
    <row r="4918" spans="1:8" x14ac:dyDescent="0.25">
      <c r="A4918" s="1"/>
      <c r="H4918" s="2"/>
    </row>
    <row r="4919" spans="1:8" x14ac:dyDescent="0.25">
      <c r="A4919" s="1"/>
      <c r="H4919" s="2"/>
    </row>
    <row r="4920" spans="1:8" x14ac:dyDescent="0.25">
      <c r="A4920" s="1"/>
      <c r="H4920" s="2"/>
    </row>
    <row r="4921" spans="1:8" x14ac:dyDescent="0.25">
      <c r="A4921" s="1"/>
      <c r="H4921" s="2"/>
    </row>
    <row r="4922" spans="1:8" x14ac:dyDescent="0.25">
      <c r="A4922" s="1"/>
      <c r="H4922" s="2"/>
    </row>
    <row r="4923" spans="1:8" x14ac:dyDescent="0.25">
      <c r="A4923" s="1"/>
      <c r="H4923" s="2"/>
    </row>
    <row r="4924" spans="1:8" x14ac:dyDescent="0.25">
      <c r="A4924" s="1"/>
      <c r="H4924" s="2"/>
    </row>
    <row r="4925" spans="1:8" x14ac:dyDescent="0.25">
      <c r="A4925" s="1"/>
      <c r="H4925" s="2"/>
    </row>
    <row r="4926" spans="1:8" x14ac:dyDescent="0.25">
      <c r="A4926" s="1"/>
      <c r="H4926" s="2"/>
    </row>
    <row r="4927" spans="1:8" x14ac:dyDescent="0.25">
      <c r="A4927" s="1"/>
      <c r="H4927" s="2"/>
    </row>
    <row r="4928" spans="1:8" x14ac:dyDescent="0.25">
      <c r="A4928" s="1"/>
      <c r="H4928" s="2"/>
    </row>
    <row r="4929" spans="1:8" x14ac:dyDescent="0.25">
      <c r="A4929" s="1"/>
      <c r="H4929" s="2"/>
    </row>
    <row r="4930" spans="1:8" x14ac:dyDescent="0.25">
      <c r="A4930" s="1"/>
      <c r="H4930" s="2"/>
    </row>
    <row r="4931" spans="1:8" x14ac:dyDescent="0.25">
      <c r="A4931" s="1"/>
      <c r="H4931" s="2"/>
    </row>
    <row r="4932" spans="1:8" x14ac:dyDescent="0.25">
      <c r="A4932" s="1"/>
      <c r="H4932" s="2"/>
    </row>
    <row r="4933" spans="1:8" x14ac:dyDescent="0.25">
      <c r="A4933" s="1"/>
      <c r="H4933" s="2"/>
    </row>
    <row r="4934" spans="1:8" x14ac:dyDescent="0.25">
      <c r="A4934" s="1"/>
      <c r="H4934" s="2"/>
    </row>
    <row r="4935" spans="1:8" x14ac:dyDescent="0.25">
      <c r="A4935" s="1"/>
      <c r="H4935" s="2"/>
    </row>
    <row r="4936" spans="1:8" x14ac:dyDescent="0.25">
      <c r="A4936" s="1"/>
      <c r="H4936" s="2"/>
    </row>
    <row r="4937" spans="1:8" x14ac:dyDescent="0.25">
      <c r="A4937" s="1"/>
      <c r="H4937" s="2"/>
    </row>
    <row r="4938" spans="1:8" x14ac:dyDescent="0.25">
      <c r="A4938" s="1"/>
      <c r="H4938" s="2"/>
    </row>
    <row r="4939" spans="1:8" x14ac:dyDescent="0.25">
      <c r="A4939" s="1"/>
      <c r="H4939" s="2"/>
    </row>
    <row r="4940" spans="1:8" x14ac:dyDescent="0.25">
      <c r="A4940" s="1"/>
      <c r="H4940" s="2"/>
    </row>
    <row r="4941" spans="1:8" x14ac:dyDescent="0.25">
      <c r="A4941" s="1"/>
      <c r="H4941" s="2"/>
    </row>
    <row r="4942" spans="1:8" x14ac:dyDescent="0.25">
      <c r="A4942" s="1"/>
      <c r="H4942" s="2"/>
    </row>
    <row r="4943" spans="1:8" x14ac:dyDescent="0.25">
      <c r="A4943" s="1"/>
      <c r="H4943" s="2"/>
    </row>
    <row r="4944" spans="1:8" x14ac:dyDescent="0.25">
      <c r="A4944" s="1"/>
      <c r="H4944" s="2"/>
    </row>
    <row r="4945" spans="1:8" x14ac:dyDescent="0.25">
      <c r="A4945" s="1"/>
      <c r="H4945" s="2"/>
    </row>
    <row r="4946" spans="1:8" x14ac:dyDescent="0.25">
      <c r="A4946" s="1"/>
      <c r="H4946" s="2"/>
    </row>
    <row r="4947" spans="1:8" x14ac:dyDescent="0.25">
      <c r="A4947" s="1"/>
      <c r="H4947" s="2"/>
    </row>
    <row r="4948" spans="1:8" x14ac:dyDescent="0.25">
      <c r="A4948" s="1"/>
      <c r="H4948" s="2"/>
    </row>
    <row r="4949" spans="1:8" x14ac:dyDescent="0.25">
      <c r="A4949" s="1"/>
      <c r="H4949" s="2"/>
    </row>
    <row r="4950" spans="1:8" x14ac:dyDescent="0.25">
      <c r="A4950" s="1"/>
      <c r="H4950" s="2"/>
    </row>
    <row r="4951" spans="1:8" x14ac:dyDescent="0.25">
      <c r="A4951" s="1"/>
      <c r="H4951" s="2"/>
    </row>
    <row r="4952" spans="1:8" x14ac:dyDescent="0.25">
      <c r="A4952" s="1"/>
      <c r="H4952" s="2"/>
    </row>
    <row r="4953" spans="1:8" x14ac:dyDescent="0.25">
      <c r="A4953" s="1"/>
      <c r="H4953" s="2"/>
    </row>
    <row r="4954" spans="1:8" x14ac:dyDescent="0.25">
      <c r="A4954" s="1"/>
      <c r="H4954" s="2"/>
    </row>
    <row r="4955" spans="1:8" x14ac:dyDescent="0.25">
      <c r="A4955" s="1"/>
      <c r="H4955" s="2"/>
    </row>
    <row r="4956" spans="1:8" x14ac:dyDescent="0.25">
      <c r="A4956" s="1"/>
      <c r="H4956" s="2"/>
    </row>
    <row r="4957" spans="1:8" x14ac:dyDescent="0.25">
      <c r="A4957" s="1"/>
      <c r="H4957" s="2"/>
    </row>
    <row r="4958" spans="1:8" x14ac:dyDescent="0.25">
      <c r="A4958" s="1"/>
      <c r="H4958" s="2"/>
    </row>
    <row r="4959" spans="1:8" x14ac:dyDescent="0.25">
      <c r="A4959" s="1"/>
      <c r="H4959" s="2"/>
    </row>
    <row r="4960" spans="1:8" x14ac:dyDescent="0.25">
      <c r="A4960" s="1"/>
      <c r="H4960" s="2"/>
    </row>
    <row r="4961" spans="1:8" x14ac:dyDescent="0.25">
      <c r="A4961" s="1"/>
      <c r="H4961" s="2"/>
    </row>
    <row r="4962" spans="1:8" x14ac:dyDescent="0.25">
      <c r="A4962" s="1"/>
      <c r="H4962" s="2"/>
    </row>
    <row r="4963" spans="1:8" x14ac:dyDescent="0.25">
      <c r="A4963" s="1"/>
      <c r="H4963" s="2"/>
    </row>
    <row r="4964" spans="1:8" x14ac:dyDescent="0.25">
      <c r="A4964" s="1"/>
      <c r="H4964" s="2"/>
    </row>
    <row r="4965" spans="1:8" x14ac:dyDescent="0.25">
      <c r="A4965" s="1"/>
      <c r="H4965" s="2"/>
    </row>
    <row r="4966" spans="1:8" x14ac:dyDescent="0.25">
      <c r="A4966" s="1"/>
      <c r="H4966" s="2"/>
    </row>
    <row r="4967" spans="1:8" x14ac:dyDescent="0.25">
      <c r="A4967" s="1"/>
      <c r="H4967" s="2"/>
    </row>
    <row r="4968" spans="1:8" x14ac:dyDescent="0.25">
      <c r="A4968" s="1"/>
      <c r="H4968" s="2"/>
    </row>
    <row r="4969" spans="1:8" x14ac:dyDescent="0.25">
      <c r="A4969" s="1"/>
      <c r="H4969" s="2"/>
    </row>
    <row r="4970" spans="1:8" x14ac:dyDescent="0.25">
      <c r="A4970" s="1"/>
      <c r="H4970" s="2"/>
    </row>
    <row r="4971" spans="1:8" x14ac:dyDescent="0.25">
      <c r="A4971" s="1"/>
      <c r="H4971" s="2"/>
    </row>
    <row r="4972" spans="1:8" x14ac:dyDescent="0.25">
      <c r="A4972" s="1"/>
      <c r="H4972" s="2"/>
    </row>
    <row r="4973" spans="1:8" x14ac:dyDescent="0.25">
      <c r="A4973" s="1"/>
      <c r="H4973" s="2"/>
    </row>
    <row r="4974" spans="1:8" x14ac:dyDescent="0.25">
      <c r="A4974" s="1"/>
      <c r="H4974" s="2"/>
    </row>
    <row r="4975" spans="1:8" x14ac:dyDescent="0.25">
      <c r="A4975" s="1"/>
      <c r="H4975" s="2"/>
    </row>
    <row r="4976" spans="1:8" x14ac:dyDescent="0.25">
      <c r="A4976" s="1"/>
      <c r="H4976" s="2"/>
    </row>
    <row r="4977" spans="1:8" x14ac:dyDescent="0.25">
      <c r="A4977" s="1"/>
      <c r="H4977" s="2"/>
    </row>
    <row r="4978" spans="1:8" x14ac:dyDescent="0.25">
      <c r="A4978" s="1"/>
      <c r="H4978" s="2"/>
    </row>
    <row r="4979" spans="1:8" x14ac:dyDescent="0.25">
      <c r="A4979" s="1"/>
      <c r="H4979" s="2"/>
    </row>
    <row r="4980" spans="1:8" x14ac:dyDescent="0.25">
      <c r="A4980" s="1"/>
      <c r="H4980" s="2"/>
    </row>
    <row r="4981" spans="1:8" x14ac:dyDescent="0.25">
      <c r="A4981" s="1"/>
      <c r="H4981" s="2"/>
    </row>
    <row r="4982" spans="1:8" x14ac:dyDescent="0.25">
      <c r="A4982" s="1"/>
      <c r="H4982" s="2"/>
    </row>
    <row r="4983" spans="1:8" x14ac:dyDescent="0.25">
      <c r="A4983" s="1"/>
      <c r="H4983" s="2"/>
    </row>
    <row r="4984" spans="1:8" x14ac:dyDescent="0.25">
      <c r="A4984" s="1"/>
      <c r="H4984" s="2"/>
    </row>
    <row r="4985" spans="1:8" x14ac:dyDescent="0.25">
      <c r="A4985" s="1"/>
      <c r="H4985" s="2"/>
    </row>
    <row r="4986" spans="1:8" x14ac:dyDescent="0.25">
      <c r="A4986" s="1"/>
      <c r="H4986" s="2"/>
    </row>
    <row r="4987" spans="1:8" x14ac:dyDescent="0.25">
      <c r="A4987" s="1"/>
      <c r="H4987" s="2"/>
    </row>
    <row r="4988" spans="1:8" x14ac:dyDescent="0.25">
      <c r="A4988" s="1"/>
      <c r="H4988" s="2"/>
    </row>
    <row r="4989" spans="1:8" x14ac:dyDescent="0.25">
      <c r="A4989" s="1"/>
      <c r="H4989" s="2"/>
    </row>
    <row r="4990" spans="1:8" x14ac:dyDescent="0.25">
      <c r="A4990" s="1"/>
      <c r="H4990" s="2"/>
    </row>
    <row r="4991" spans="1:8" x14ac:dyDescent="0.25">
      <c r="A4991" s="1"/>
      <c r="H4991" s="2"/>
    </row>
    <row r="4992" spans="1:8" x14ac:dyDescent="0.25">
      <c r="A4992" s="1"/>
      <c r="H4992" s="2"/>
    </row>
    <row r="4993" spans="1:8" x14ac:dyDescent="0.25">
      <c r="A4993" s="1"/>
      <c r="H4993" s="2"/>
    </row>
    <row r="4994" spans="1:8" x14ac:dyDescent="0.25">
      <c r="A4994" s="1"/>
      <c r="H4994" s="2"/>
    </row>
    <row r="4995" spans="1:8" x14ac:dyDescent="0.25">
      <c r="A4995" s="1"/>
      <c r="H4995" s="2"/>
    </row>
    <row r="4996" spans="1:8" x14ac:dyDescent="0.25">
      <c r="A4996" s="1"/>
      <c r="H4996" s="2"/>
    </row>
    <row r="4997" spans="1:8" x14ac:dyDescent="0.25">
      <c r="A4997" s="1"/>
      <c r="H4997" s="2"/>
    </row>
    <row r="4998" spans="1:8" x14ac:dyDescent="0.25">
      <c r="A4998" s="1"/>
      <c r="H4998" s="2"/>
    </row>
    <row r="4999" spans="1:8" x14ac:dyDescent="0.25">
      <c r="A4999" s="1"/>
      <c r="H4999" s="2"/>
    </row>
    <row r="5000" spans="1:8" x14ac:dyDescent="0.25">
      <c r="A5000" s="1"/>
      <c r="H5000" s="2"/>
    </row>
    <row r="5001" spans="1:8" x14ac:dyDescent="0.25">
      <c r="A5001" s="1"/>
      <c r="H5001" s="2"/>
    </row>
    <row r="5002" spans="1:8" x14ac:dyDescent="0.25">
      <c r="A5002" s="1"/>
      <c r="H5002" s="2"/>
    </row>
    <row r="5003" spans="1:8" x14ac:dyDescent="0.25">
      <c r="A5003" s="1"/>
      <c r="H5003" s="2"/>
    </row>
    <row r="5004" spans="1:8" x14ac:dyDescent="0.25">
      <c r="A5004" s="1"/>
      <c r="H5004" s="2"/>
    </row>
    <row r="5005" spans="1:8" x14ac:dyDescent="0.25">
      <c r="A5005" s="1"/>
      <c r="H5005" s="2"/>
    </row>
    <row r="5006" spans="1:8" x14ac:dyDescent="0.25">
      <c r="A5006" s="1"/>
      <c r="H5006" s="2"/>
    </row>
    <row r="5007" spans="1:8" x14ac:dyDescent="0.25">
      <c r="A5007" s="1"/>
      <c r="H5007" s="2"/>
    </row>
    <row r="5008" spans="1:8" x14ac:dyDescent="0.25">
      <c r="A5008" s="1"/>
      <c r="H5008" s="2"/>
    </row>
    <row r="5009" spans="1:8" x14ac:dyDescent="0.25">
      <c r="A5009" s="1"/>
      <c r="H5009" s="2"/>
    </row>
    <row r="5010" spans="1:8" x14ac:dyDescent="0.25">
      <c r="A5010" s="1"/>
      <c r="H5010" s="2"/>
    </row>
    <row r="5011" spans="1:8" x14ac:dyDescent="0.25">
      <c r="A5011" s="1"/>
      <c r="H5011" s="2"/>
    </row>
    <row r="5012" spans="1:8" x14ac:dyDescent="0.25">
      <c r="A5012" s="1"/>
      <c r="H5012" s="2"/>
    </row>
    <row r="5013" spans="1:8" x14ac:dyDescent="0.25">
      <c r="A5013" s="1"/>
      <c r="H5013" s="2"/>
    </row>
    <row r="5014" spans="1:8" x14ac:dyDescent="0.25">
      <c r="A5014" s="1"/>
      <c r="H5014" s="2"/>
    </row>
    <row r="5015" spans="1:8" x14ac:dyDescent="0.25">
      <c r="A5015" s="1"/>
      <c r="H5015" s="2"/>
    </row>
    <row r="5016" spans="1:8" x14ac:dyDescent="0.25">
      <c r="A5016" s="1"/>
      <c r="H5016" s="2"/>
    </row>
    <row r="5017" spans="1:8" x14ac:dyDescent="0.25">
      <c r="A5017" s="1"/>
      <c r="H5017" s="2"/>
    </row>
    <row r="5018" spans="1:8" x14ac:dyDescent="0.25">
      <c r="A5018" s="1"/>
      <c r="H5018" s="2"/>
    </row>
    <row r="5019" spans="1:8" x14ac:dyDescent="0.25">
      <c r="A5019" s="1"/>
      <c r="H5019" s="2"/>
    </row>
    <row r="5020" spans="1:8" x14ac:dyDescent="0.25">
      <c r="A5020" s="1"/>
      <c r="H5020" s="2"/>
    </row>
    <row r="5021" spans="1:8" x14ac:dyDescent="0.25">
      <c r="A5021" s="1"/>
      <c r="H5021" s="2"/>
    </row>
    <row r="5022" spans="1:8" x14ac:dyDescent="0.25">
      <c r="A5022" s="1"/>
      <c r="H5022" s="2"/>
    </row>
    <row r="5023" spans="1:8" x14ac:dyDescent="0.25">
      <c r="A5023" s="1"/>
      <c r="H5023" s="2"/>
    </row>
    <row r="5024" spans="1:8" x14ac:dyDescent="0.25">
      <c r="A5024" s="1"/>
      <c r="H5024" s="2"/>
    </row>
    <row r="5025" spans="1:8" x14ac:dyDescent="0.25">
      <c r="A5025" s="1"/>
      <c r="H5025" s="2"/>
    </row>
    <row r="5026" spans="1:8" x14ac:dyDescent="0.25">
      <c r="A5026" s="1"/>
      <c r="H5026" s="2"/>
    </row>
    <row r="5027" spans="1:8" x14ac:dyDescent="0.25">
      <c r="A5027" s="1"/>
      <c r="H5027" s="2"/>
    </row>
    <row r="5028" spans="1:8" x14ac:dyDescent="0.25">
      <c r="A5028" s="1"/>
      <c r="H5028" s="2"/>
    </row>
    <row r="5029" spans="1:8" x14ac:dyDescent="0.25">
      <c r="A5029" s="1"/>
      <c r="H5029" s="2"/>
    </row>
    <row r="5030" spans="1:8" x14ac:dyDescent="0.25">
      <c r="A5030" s="1"/>
      <c r="H5030" s="2"/>
    </row>
    <row r="5031" spans="1:8" x14ac:dyDescent="0.25">
      <c r="A5031" s="1"/>
      <c r="H5031" s="2"/>
    </row>
    <row r="5032" spans="1:8" x14ac:dyDescent="0.25">
      <c r="A5032" s="1"/>
      <c r="H5032" s="2"/>
    </row>
    <row r="5033" spans="1:8" x14ac:dyDescent="0.25">
      <c r="A5033" s="1"/>
      <c r="H5033" s="2"/>
    </row>
    <row r="5034" spans="1:8" x14ac:dyDescent="0.25">
      <c r="A5034" s="1"/>
      <c r="H5034" s="2"/>
    </row>
    <row r="5035" spans="1:8" x14ac:dyDescent="0.25">
      <c r="A5035" s="1"/>
      <c r="H5035" s="2"/>
    </row>
    <row r="5036" spans="1:8" x14ac:dyDescent="0.25">
      <c r="A5036" s="1"/>
      <c r="H5036" s="2"/>
    </row>
    <row r="5037" spans="1:8" x14ac:dyDescent="0.25">
      <c r="A5037" s="1"/>
      <c r="H5037" s="2"/>
    </row>
    <row r="5038" spans="1:8" x14ac:dyDescent="0.25">
      <c r="A5038" s="1"/>
      <c r="H5038" s="2"/>
    </row>
    <row r="5039" spans="1:8" x14ac:dyDescent="0.25">
      <c r="A5039" s="1"/>
      <c r="H5039" s="2"/>
    </row>
    <row r="5040" spans="1:8" x14ac:dyDescent="0.25">
      <c r="A5040" s="1"/>
      <c r="H5040" s="2"/>
    </row>
    <row r="5041" spans="1:8" x14ac:dyDescent="0.25">
      <c r="A5041" s="1"/>
      <c r="H5041" s="2"/>
    </row>
    <row r="5042" spans="1:8" x14ac:dyDescent="0.25">
      <c r="A5042" s="1"/>
      <c r="H5042" s="2"/>
    </row>
    <row r="5043" spans="1:8" x14ac:dyDescent="0.25">
      <c r="A5043" s="1"/>
      <c r="H5043" s="2"/>
    </row>
    <row r="5044" spans="1:8" x14ac:dyDescent="0.25">
      <c r="A5044" s="1"/>
      <c r="H5044" s="2"/>
    </row>
    <row r="5045" spans="1:8" x14ac:dyDescent="0.25">
      <c r="A5045" s="1"/>
      <c r="H5045" s="2"/>
    </row>
    <row r="5046" spans="1:8" x14ac:dyDescent="0.25">
      <c r="A5046" s="1"/>
      <c r="H5046" s="2"/>
    </row>
    <row r="5047" spans="1:8" x14ac:dyDescent="0.25">
      <c r="A5047" s="1"/>
      <c r="H5047" s="2"/>
    </row>
    <row r="5048" spans="1:8" x14ac:dyDescent="0.25">
      <c r="A5048" s="1"/>
      <c r="H5048" s="2"/>
    </row>
    <row r="5049" spans="1:8" x14ac:dyDescent="0.25">
      <c r="A5049" s="1"/>
      <c r="H5049" s="2"/>
    </row>
    <row r="5050" spans="1:8" x14ac:dyDescent="0.25">
      <c r="A5050" s="1"/>
      <c r="H5050" s="2"/>
    </row>
    <row r="5051" spans="1:8" x14ac:dyDescent="0.25">
      <c r="A5051" s="1"/>
      <c r="H5051" s="2"/>
    </row>
    <row r="5052" spans="1:8" x14ac:dyDescent="0.25">
      <c r="A5052" s="1"/>
      <c r="H5052" s="2"/>
    </row>
    <row r="5053" spans="1:8" x14ac:dyDescent="0.25">
      <c r="A5053" s="1"/>
      <c r="H5053" s="2"/>
    </row>
    <row r="5054" spans="1:8" x14ac:dyDescent="0.25">
      <c r="A5054" s="1"/>
      <c r="H5054" s="2"/>
    </row>
    <row r="5055" spans="1:8" x14ac:dyDescent="0.25">
      <c r="A5055" s="1"/>
      <c r="H5055" s="2"/>
    </row>
    <row r="5056" spans="1:8" x14ac:dyDescent="0.25">
      <c r="A5056" s="1"/>
      <c r="H5056" s="2"/>
    </row>
    <row r="5057" spans="1:8" x14ac:dyDescent="0.25">
      <c r="A5057" s="1"/>
      <c r="H5057" s="2"/>
    </row>
    <row r="5058" spans="1:8" x14ac:dyDescent="0.25">
      <c r="A5058" s="1"/>
      <c r="H5058" s="2"/>
    </row>
    <row r="5059" spans="1:8" x14ac:dyDescent="0.25">
      <c r="A5059" s="1"/>
      <c r="H5059" s="2"/>
    </row>
    <row r="5060" spans="1:8" x14ac:dyDescent="0.25">
      <c r="A5060" s="1"/>
      <c r="H5060" s="2"/>
    </row>
    <row r="5061" spans="1:8" x14ac:dyDescent="0.25">
      <c r="A5061" s="1"/>
      <c r="H5061" s="2"/>
    </row>
    <row r="5062" spans="1:8" x14ac:dyDescent="0.25">
      <c r="A5062" s="1"/>
      <c r="H5062" s="2"/>
    </row>
    <row r="5063" spans="1:8" x14ac:dyDescent="0.25">
      <c r="A5063" s="1"/>
      <c r="H5063" s="2"/>
    </row>
    <row r="5064" spans="1:8" x14ac:dyDescent="0.25">
      <c r="A5064" s="1"/>
      <c r="H5064" s="2"/>
    </row>
    <row r="5065" spans="1:8" x14ac:dyDescent="0.25">
      <c r="A5065" s="1"/>
      <c r="H5065" s="2"/>
    </row>
    <row r="5066" spans="1:8" x14ac:dyDescent="0.25">
      <c r="A5066" s="1"/>
      <c r="H5066" s="2"/>
    </row>
    <row r="5067" spans="1:8" x14ac:dyDescent="0.25">
      <c r="A5067" s="1"/>
      <c r="H5067" s="2"/>
    </row>
    <row r="5068" spans="1:8" x14ac:dyDescent="0.25">
      <c r="A5068" s="1"/>
      <c r="H5068" s="2"/>
    </row>
    <row r="5069" spans="1:8" x14ac:dyDescent="0.25">
      <c r="A5069" s="1"/>
      <c r="H5069" s="2"/>
    </row>
    <row r="5070" spans="1:8" x14ac:dyDescent="0.25">
      <c r="A5070" s="1"/>
      <c r="H5070" s="2"/>
    </row>
    <row r="5071" spans="1:8" x14ac:dyDescent="0.25">
      <c r="A5071" s="1"/>
      <c r="H5071" s="2"/>
    </row>
    <row r="5072" spans="1:8" x14ac:dyDescent="0.25">
      <c r="A5072" s="1"/>
      <c r="H5072" s="2"/>
    </row>
    <row r="5073" spans="1:8" x14ac:dyDescent="0.25">
      <c r="A5073" s="1"/>
      <c r="H5073" s="2"/>
    </row>
    <row r="5074" spans="1:8" x14ac:dyDescent="0.25">
      <c r="A5074" s="1"/>
      <c r="H5074" s="2"/>
    </row>
    <row r="5075" spans="1:8" x14ac:dyDescent="0.25">
      <c r="A5075" s="1"/>
      <c r="H5075" s="2"/>
    </row>
    <row r="5076" spans="1:8" x14ac:dyDescent="0.25">
      <c r="A5076" s="1"/>
      <c r="H5076" s="2"/>
    </row>
    <row r="5077" spans="1:8" x14ac:dyDescent="0.25">
      <c r="A5077" s="1"/>
      <c r="H5077" s="2"/>
    </row>
    <row r="5078" spans="1:8" x14ac:dyDescent="0.25">
      <c r="A5078" s="1"/>
      <c r="H5078" s="2"/>
    </row>
    <row r="5079" spans="1:8" x14ac:dyDescent="0.25">
      <c r="A5079" s="1"/>
      <c r="H5079" s="2"/>
    </row>
    <row r="5080" spans="1:8" x14ac:dyDescent="0.25">
      <c r="A5080" s="1"/>
      <c r="H5080" s="2"/>
    </row>
    <row r="5081" spans="1:8" x14ac:dyDescent="0.25">
      <c r="A5081" s="1"/>
      <c r="H5081" s="2"/>
    </row>
    <row r="5082" spans="1:8" x14ac:dyDescent="0.25">
      <c r="A5082" s="1"/>
      <c r="H5082" s="2"/>
    </row>
    <row r="5083" spans="1:8" x14ac:dyDescent="0.25">
      <c r="A5083" s="1"/>
      <c r="H5083" s="2"/>
    </row>
    <row r="5084" spans="1:8" x14ac:dyDescent="0.25">
      <c r="A5084" s="1"/>
      <c r="H5084" s="2"/>
    </row>
    <row r="5085" spans="1:8" x14ac:dyDescent="0.25">
      <c r="A5085" s="1"/>
      <c r="H5085" s="2"/>
    </row>
    <row r="5086" spans="1:8" x14ac:dyDescent="0.25">
      <c r="A5086" s="1"/>
      <c r="H5086" s="2"/>
    </row>
    <row r="5087" spans="1:8" x14ac:dyDescent="0.25">
      <c r="A5087" s="1"/>
      <c r="H5087" s="2"/>
    </row>
    <row r="5088" spans="1:8" x14ac:dyDescent="0.25">
      <c r="A5088" s="1"/>
      <c r="H5088" s="2"/>
    </row>
    <row r="5089" spans="1:8" x14ac:dyDescent="0.25">
      <c r="A5089" s="1"/>
      <c r="H5089" s="2"/>
    </row>
    <row r="5090" spans="1:8" x14ac:dyDescent="0.25">
      <c r="A5090" s="1"/>
      <c r="H5090" s="2"/>
    </row>
    <row r="5091" spans="1:8" x14ac:dyDescent="0.25">
      <c r="A5091" s="1"/>
      <c r="H5091" s="2"/>
    </row>
    <row r="5092" spans="1:8" x14ac:dyDescent="0.25">
      <c r="A5092" s="1"/>
      <c r="H5092" s="2"/>
    </row>
    <row r="5093" spans="1:8" x14ac:dyDescent="0.25">
      <c r="A5093" s="1"/>
      <c r="H5093" s="2"/>
    </row>
    <row r="5094" spans="1:8" x14ac:dyDescent="0.25">
      <c r="A5094" s="1"/>
      <c r="H5094" s="2"/>
    </row>
    <row r="5095" spans="1:8" x14ac:dyDescent="0.25">
      <c r="A5095" s="1"/>
      <c r="H5095" s="2"/>
    </row>
    <row r="5096" spans="1:8" x14ac:dyDescent="0.25">
      <c r="A5096" s="1"/>
      <c r="H5096" s="2"/>
    </row>
    <row r="5097" spans="1:8" x14ac:dyDescent="0.25">
      <c r="A5097" s="1"/>
      <c r="H5097" s="2"/>
    </row>
    <row r="5098" spans="1:8" x14ac:dyDescent="0.25">
      <c r="A5098" s="1"/>
      <c r="H5098" s="2"/>
    </row>
    <row r="5099" spans="1:8" x14ac:dyDescent="0.25">
      <c r="A5099" s="1"/>
      <c r="H5099" s="2"/>
    </row>
    <row r="5100" spans="1:8" x14ac:dyDescent="0.25">
      <c r="A5100" s="1"/>
      <c r="H5100" s="2"/>
    </row>
    <row r="5101" spans="1:8" x14ac:dyDescent="0.25">
      <c r="A5101" s="1"/>
      <c r="H5101" s="2"/>
    </row>
    <row r="5102" spans="1:8" x14ac:dyDescent="0.25">
      <c r="A5102" s="1"/>
      <c r="H5102" s="2"/>
    </row>
    <row r="5103" spans="1:8" x14ac:dyDescent="0.25">
      <c r="A5103" s="1"/>
      <c r="H5103" s="2"/>
    </row>
    <row r="5104" spans="1:8" x14ac:dyDescent="0.25">
      <c r="A5104" s="1"/>
      <c r="H5104" s="2"/>
    </row>
    <row r="5105" spans="1:8" x14ac:dyDescent="0.25">
      <c r="A5105" s="1"/>
      <c r="H5105" s="2"/>
    </row>
    <row r="5106" spans="1:8" x14ac:dyDescent="0.25">
      <c r="A5106" s="1"/>
      <c r="H5106" s="2"/>
    </row>
    <row r="5107" spans="1:8" x14ac:dyDescent="0.25">
      <c r="A5107" s="1"/>
      <c r="H5107" s="2"/>
    </row>
    <row r="5108" spans="1:8" x14ac:dyDescent="0.25">
      <c r="A5108" s="1"/>
      <c r="H5108" s="2"/>
    </row>
    <row r="5109" spans="1:8" x14ac:dyDescent="0.25">
      <c r="A5109" s="1"/>
      <c r="H5109" s="2"/>
    </row>
    <row r="5110" spans="1:8" x14ac:dyDescent="0.25">
      <c r="A5110" s="1"/>
      <c r="H5110" s="2"/>
    </row>
    <row r="5111" spans="1:8" x14ac:dyDescent="0.25">
      <c r="A5111" s="1"/>
      <c r="H5111" s="2"/>
    </row>
    <row r="5112" spans="1:8" x14ac:dyDescent="0.25">
      <c r="A5112" s="1"/>
      <c r="H5112" s="2"/>
    </row>
    <row r="5113" spans="1:8" x14ac:dyDescent="0.25">
      <c r="A5113" s="1"/>
      <c r="H5113" s="2"/>
    </row>
    <row r="5114" spans="1:8" x14ac:dyDescent="0.25">
      <c r="A5114" s="1"/>
      <c r="H5114" s="2"/>
    </row>
    <row r="5115" spans="1:8" x14ac:dyDescent="0.25">
      <c r="A5115" s="1"/>
      <c r="H5115" s="2"/>
    </row>
    <row r="5116" spans="1:8" x14ac:dyDescent="0.25">
      <c r="A5116" s="1"/>
      <c r="H5116" s="2"/>
    </row>
    <row r="5117" spans="1:8" x14ac:dyDescent="0.25">
      <c r="A5117" s="1"/>
      <c r="H5117" s="2"/>
    </row>
    <row r="5118" spans="1:8" x14ac:dyDescent="0.25">
      <c r="A5118" s="1"/>
      <c r="H5118" s="2"/>
    </row>
    <row r="5119" spans="1:8" x14ac:dyDescent="0.25">
      <c r="A5119" s="1"/>
      <c r="H5119" s="2"/>
    </row>
    <row r="5120" spans="1:8" x14ac:dyDescent="0.25">
      <c r="A5120" s="1"/>
      <c r="H5120" s="2"/>
    </row>
    <row r="5121" spans="1:8" x14ac:dyDescent="0.25">
      <c r="A5121" s="1"/>
      <c r="H5121" s="2"/>
    </row>
    <row r="5122" spans="1:8" x14ac:dyDescent="0.25">
      <c r="A5122" s="1"/>
      <c r="H5122" s="2"/>
    </row>
    <row r="5123" spans="1:8" x14ac:dyDescent="0.25">
      <c r="A5123" s="1"/>
      <c r="H5123" s="2"/>
    </row>
    <row r="5124" spans="1:8" x14ac:dyDescent="0.25">
      <c r="A5124" s="1"/>
      <c r="H5124" s="2"/>
    </row>
    <row r="5125" spans="1:8" x14ac:dyDescent="0.25">
      <c r="A5125" s="1"/>
      <c r="H5125" s="2"/>
    </row>
    <row r="5126" spans="1:8" x14ac:dyDescent="0.25">
      <c r="A5126" s="1"/>
      <c r="H5126" s="2"/>
    </row>
    <row r="5127" spans="1:8" x14ac:dyDescent="0.25">
      <c r="A5127" s="1"/>
      <c r="H5127" s="2"/>
    </row>
    <row r="5128" spans="1:8" x14ac:dyDescent="0.25">
      <c r="A5128" s="1"/>
      <c r="H5128" s="2"/>
    </row>
    <row r="5129" spans="1:8" x14ac:dyDescent="0.25">
      <c r="A5129" s="1"/>
      <c r="H5129" s="2"/>
    </row>
    <row r="5130" spans="1:8" x14ac:dyDescent="0.25">
      <c r="A5130" s="1"/>
      <c r="H5130" s="2"/>
    </row>
    <row r="5131" spans="1:8" x14ac:dyDescent="0.25">
      <c r="A5131" s="1"/>
      <c r="H5131" s="2"/>
    </row>
    <row r="5132" spans="1:8" x14ac:dyDescent="0.25">
      <c r="A5132" s="1"/>
      <c r="H5132" s="2"/>
    </row>
    <row r="5133" spans="1:8" x14ac:dyDescent="0.25">
      <c r="A5133" s="1"/>
      <c r="H5133" s="2"/>
    </row>
    <row r="5134" spans="1:8" x14ac:dyDescent="0.25">
      <c r="A5134" s="1"/>
      <c r="H5134" s="2"/>
    </row>
    <row r="5135" spans="1:8" x14ac:dyDescent="0.25">
      <c r="A5135" s="1"/>
      <c r="H5135" s="2"/>
    </row>
    <row r="5136" spans="1:8" x14ac:dyDescent="0.25">
      <c r="A5136" s="1"/>
      <c r="H5136" s="2"/>
    </row>
    <row r="5137" spans="1:8" x14ac:dyDescent="0.25">
      <c r="A5137" s="1"/>
      <c r="H5137" s="2"/>
    </row>
    <row r="5138" spans="1:8" x14ac:dyDescent="0.25">
      <c r="A5138" s="1"/>
      <c r="H5138" s="2"/>
    </row>
    <row r="5139" spans="1:8" x14ac:dyDescent="0.25">
      <c r="A5139" s="1"/>
      <c r="H5139" s="2"/>
    </row>
    <row r="5140" spans="1:8" x14ac:dyDescent="0.25">
      <c r="A5140" s="1"/>
      <c r="H5140" s="2"/>
    </row>
    <row r="5141" spans="1:8" x14ac:dyDescent="0.25">
      <c r="A5141" s="1"/>
      <c r="H5141" s="2"/>
    </row>
    <row r="5142" spans="1:8" x14ac:dyDescent="0.25">
      <c r="A5142" s="1"/>
      <c r="H5142" s="2"/>
    </row>
    <row r="5143" spans="1:8" x14ac:dyDescent="0.25">
      <c r="A5143" s="1"/>
      <c r="H5143" s="2"/>
    </row>
    <row r="5144" spans="1:8" x14ac:dyDescent="0.25">
      <c r="A5144" s="1"/>
      <c r="H5144" s="2"/>
    </row>
    <row r="5145" spans="1:8" x14ac:dyDescent="0.25">
      <c r="A5145" s="1"/>
      <c r="H5145" s="2"/>
    </row>
    <row r="5146" spans="1:8" x14ac:dyDescent="0.25">
      <c r="A5146" s="1"/>
      <c r="H5146" s="2"/>
    </row>
    <row r="5147" spans="1:8" x14ac:dyDescent="0.25">
      <c r="A5147" s="1"/>
      <c r="H5147" s="2"/>
    </row>
    <row r="5148" spans="1:8" x14ac:dyDescent="0.25">
      <c r="A5148" s="1"/>
      <c r="H5148" s="2"/>
    </row>
    <row r="5149" spans="1:8" x14ac:dyDescent="0.25">
      <c r="A5149" s="1"/>
      <c r="H5149" s="2"/>
    </row>
    <row r="5150" spans="1:8" x14ac:dyDescent="0.25">
      <c r="A5150" s="1"/>
      <c r="H5150" s="2"/>
    </row>
    <row r="5151" spans="1:8" x14ac:dyDescent="0.25">
      <c r="A5151" s="1"/>
      <c r="H5151" s="2"/>
    </row>
    <row r="5152" spans="1:8" x14ac:dyDescent="0.25">
      <c r="A5152" s="1"/>
      <c r="H5152" s="2"/>
    </row>
    <row r="5153" spans="1:8" x14ac:dyDescent="0.25">
      <c r="A5153" s="1"/>
      <c r="H5153" s="2"/>
    </row>
    <row r="5154" spans="1:8" x14ac:dyDescent="0.25">
      <c r="A5154" s="1"/>
      <c r="H5154" s="2"/>
    </row>
    <row r="5155" spans="1:8" x14ac:dyDescent="0.25">
      <c r="A5155" s="1"/>
      <c r="H5155" s="2"/>
    </row>
    <row r="5156" spans="1:8" x14ac:dyDescent="0.25">
      <c r="A5156" s="1"/>
      <c r="H5156" s="2"/>
    </row>
    <row r="5157" spans="1:8" x14ac:dyDescent="0.25">
      <c r="A5157" s="1"/>
      <c r="H5157" s="2"/>
    </row>
    <row r="5158" spans="1:8" x14ac:dyDescent="0.25">
      <c r="A5158" s="1"/>
      <c r="H5158" s="2"/>
    </row>
    <row r="5159" spans="1:8" x14ac:dyDescent="0.25">
      <c r="A5159" s="1"/>
      <c r="H5159" s="2"/>
    </row>
    <row r="5160" spans="1:8" x14ac:dyDescent="0.25">
      <c r="A5160" s="1"/>
      <c r="H5160" s="2"/>
    </row>
    <row r="5161" spans="1:8" x14ac:dyDescent="0.25">
      <c r="A5161" s="1"/>
      <c r="H5161" s="2"/>
    </row>
    <row r="5162" spans="1:8" x14ac:dyDescent="0.25">
      <c r="A5162" s="1"/>
      <c r="H5162" s="2"/>
    </row>
    <row r="5163" spans="1:8" x14ac:dyDescent="0.25">
      <c r="A5163" s="1"/>
      <c r="H5163" s="2"/>
    </row>
    <row r="5164" spans="1:8" x14ac:dyDescent="0.25">
      <c r="A5164" s="1"/>
      <c r="H5164" s="2"/>
    </row>
    <row r="5165" spans="1:8" x14ac:dyDescent="0.25">
      <c r="A5165" s="1"/>
      <c r="H5165" s="2"/>
    </row>
    <row r="5166" spans="1:8" x14ac:dyDescent="0.25">
      <c r="A5166" s="1"/>
      <c r="H5166" s="2"/>
    </row>
    <row r="5167" spans="1:8" x14ac:dyDescent="0.25">
      <c r="A5167" s="1"/>
      <c r="H5167" s="2"/>
    </row>
    <row r="5168" spans="1:8" x14ac:dyDescent="0.25">
      <c r="A5168" s="1"/>
      <c r="H5168" s="2"/>
    </row>
    <row r="5169" spans="1:8" x14ac:dyDescent="0.25">
      <c r="A5169" s="1"/>
      <c r="H5169" s="2"/>
    </row>
    <row r="5170" spans="1:8" x14ac:dyDescent="0.25">
      <c r="A5170" s="1"/>
      <c r="H5170" s="2"/>
    </row>
    <row r="5171" spans="1:8" x14ac:dyDescent="0.25">
      <c r="A5171" s="1"/>
      <c r="H5171" s="2"/>
    </row>
    <row r="5172" spans="1:8" x14ac:dyDescent="0.25">
      <c r="A5172" s="1"/>
      <c r="H5172" s="2"/>
    </row>
    <row r="5173" spans="1:8" x14ac:dyDescent="0.25">
      <c r="A5173" s="1"/>
      <c r="H5173" s="2"/>
    </row>
    <row r="5174" spans="1:8" x14ac:dyDescent="0.25">
      <c r="A5174" s="1"/>
      <c r="H5174" s="2"/>
    </row>
    <row r="5175" spans="1:8" x14ac:dyDescent="0.25">
      <c r="A5175" s="1"/>
      <c r="H5175" s="2"/>
    </row>
    <row r="5176" spans="1:8" x14ac:dyDescent="0.25">
      <c r="A5176" s="1"/>
      <c r="H5176" s="2"/>
    </row>
    <row r="5177" spans="1:8" x14ac:dyDescent="0.25">
      <c r="A5177" s="1"/>
      <c r="H5177" s="2"/>
    </row>
    <row r="5178" spans="1:8" x14ac:dyDescent="0.25">
      <c r="A5178" s="1"/>
      <c r="H5178" s="2"/>
    </row>
    <row r="5179" spans="1:8" x14ac:dyDescent="0.25">
      <c r="A5179" s="1"/>
      <c r="H5179" s="2"/>
    </row>
    <row r="5180" spans="1:8" x14ac:dyDescent="0.25">
      <c r="A5180" s="1"/>
      <c r="H5180" s="2"/>
    </row>
    <row r="5181" spans="1:8" x14ac:dyDescent="0.25">
      <c r="A5181" s="1"/>
      <c r="H5181" s="2"/>
    </row>
    <row r="5182" spans="1:8" x14ac:dyDescent="0.25">
      <c r="A5182" s="1"/>
      <c r="H5182" s="2"/>
    </row>
    <row r="5183" spans="1:8" x14ac:dyDescent="0.25">
      <c r="A5183" s="1"/>
      <c r="H5183" s="2"/>
    </row>
    <row r="5184" spans="1:8" x14ac:dyDescent="0.25">
      <c r="A5184" s="1"/>
      <c r="H5184" s="2"/>
    </row>
    <row r="5185" spans="1:8" x14ac:dyDescent="0.25">
      <c r="A5185" s="1"/>
      <c r="H5185" s="2"/>
    </row>
    <row r="5186" spans="1:8" x14ac:dyDescent="0.25">
      <c r="A5186" s="1"/>
      <c r="H5186" s="2"/>
    </row>
    <row r="5187" spans="1:8" x14ac:dyDescent="0.25">
      <c r="A5187" s="1"/>
      <c r="H5187" s="2"/>
    </row>
    <row r="5188" spans="1:8" x14ac:dyDescent="0.25">
      <c r="A5188" s="1"/>
      <c r="H5188" s="2"/>
    </row>
    <row r="5189" spans="1:8" x14ac:dyDescent="0.25">
      <c r="A5189" s="1"/>
      <c r="H5189" s="2"/>
    </row>
    <row r="5190" spans="1:8" x14ac:dyDescent="0.25">
      <c r="A5190" s="1"/>
      <c r="H5190" s="2"/>
    </row>
    <row r="5191" spans="1:8" x14ac:dyDescent="0.25">
      <c r="A5191" s="1"/>
      <c r="H5191" s="2"/>
    </row>
    <row r="5192" spans="1:8" x14ac:dyDescent="0.25">
      <c r="A5192" s="1"/>
      <c r="H5192" s="2"/>
    </row>
    <row r="5193" spans="1:8" x14ac:dyDescent="0.25">
      <c r="A5193" s="1"/>
      <c r="H5193" s="2"/>
    </row>
    <row r="5194" spans="1:8" x14ac:dyDescent="0.25">
      <c r="A5194" s="1"/>
      <c r="H5194" s="2"/>
    </row>
    <row r="5195" spans="1:8" x14ac:dyDescent="0.25">
      <c r="A5195" s="1"/>
      <c r="H5195" s="2"/>
    </row>
    <row r="5196" spans="1:8" x14ac:dyDescent="0.25">
      <c r="A5196" s="1"/>
      <c r="H5196" s="2"/>
    </row>
    <row r="5197" spans="1:8" x14ac:dyDescent="0.25">
      <c r="A5197" s="1"/>
      <c r="H5197" s="2"/>
    </row>
    <row r="5198" spans="1:8" x14ac:dyDescent="0.25">
      <c r="A5198" s="1"/>
      <c r="H5198" s="2"/>
    </row>
    <row r="5199" spans="1:8" x14ac:dyDescent="0.25">
      <c r="A5199" s="1"/>
      <c r="H5199" s="2"/>
    </row>
    <row r="5200" spans="1:8" x14ac:dyDescent="0.25">
      <c r="A5200" s="1"/>
      <c r="H5200" s="2"/>
    </row>
    <row r="5201" spans="1:8" x14ac:dyDescent="0.25">
      <c r="A5201" s="1"/>
      <c r="H5201" s="2"/>
    </row>
    <row r="5202" spans="1:8" x14ac:dyDescent="0.25">
      <c r="A5202" s="1"/>
      <c r="H5202" s="2"/>
    </row>
    <row r="5203" spans="1:8" x14ac:dyDescent="0.25">
      <c r="A5203" s="1"/>
      <c r="H5203" s="2"/>
    </row>
    <row r="5204" spans="1:8" x14ac:dyDescent="0.25">
      <c r="A5204" s="1"/>
      <c r="H5204" s="2"/>
    </row>
    <row r="5205" spans="1:8" x14ac:dyDescent="0.25">
      <c r="A5205" s="1"/>
      <c r="H5205" s="2"/>
    </row>
    <row r="5206" spans="1:8" x14ac:dyDescent="0.25">
      <c r="A5206" s="1"/>
      <c r="H5206" s="2"/>
    </row>
    <row r="5207" spans="1:8" x14ac:dyDescent="0.25">
      <c r="A5207" s="1"/>
      <c r="H5207" s="2"/>
    </row>
    <row r="5208" spans="1:8" x14ac:dyDescent="0.25">
      <c r="A5208" s="1"/>
      <c r="H5208" s="2"/>
    </row>
    <row r="5209" spans="1:8" x14ac:dyDescent="0.25">
      <c r="A5209" s="1"/>
      <c r="H5209" s="2"/>
    </row>
    <row r="5210" spans="1:8" x14ac:dyDescent="0.25">
      <c r="A5210" s="1"/>
      <c r="H5210" s="2"/>
    </row>
    <row r="5211" spans="1:8" x14ac:dyDescent="0.25">
      <c r="A5211" s="1"/>
      <c r="H5211" s="2"/>
    </row>
    <row r="5212" spans="1:8" x14ac:dyDescent="0.25">
      <c r="A5212" s="1"/>
      <c r="H5212" s="2"/>
    </row>
    <row r="5213" spans="1:8" x14ac:dyDescent="0.25">
      <c r="A5213" s="1"/>
      <c r="H5213" s="2"/>
    </row>
    <row r="5214" spans="1:8" x14ac:dyDescent="0.25">
      <c r="A5214" s="1"/>
      <c r="H5214" s="2"/>
    </row>
    <row r="5215" spans="1:8" x14ac:dyDescent="0.25">
      <c r="A5215" s="1"/>
      <c r="H5215" s="2"/>
    </row>
    <row r="5216" spans="1:8" x14ac:dyDescent="0.25">
      <c r="A5216" s="1"/>
      <c r="H5216" s="2"/>
    </row>
    <row r="5217" spans="1:8" x14ac:dyDescent="0.25">
      <c r="A5217" s="1"/>
      <c r="H5217" s="2"/>
    </row>
    <row r="5218" spans="1:8" x14ac:dyDescent="0.25">
      <c r="A5218" s="1"/>
      <c r="H5218" s="2"/>
    </row>
    <row r="5219" spans="1:8" x14ac:dyDescent="0.25">
      <c r="A5219" s="1"/>
      <c r="H5219" s="2"/>
    </row>
    <row r="5220" spans="1:8" x14ac:dyDescent="0.25">
      <c r="A5220" s="1"/>
      <c r="H5220" s="2"/>
    </row>
    <row r="5221" spans="1:8" x14ac:dyDescent="0.25">
      <c r="A5221" s="1"/>
      <c r="H5221" s="2"/>
    </row>
    <row r="5222" spans="1:8" x14ac:dyDescent="0.25">
      <c r="A5222" s="1"/>
      <c r="H5222" s="2"/>
    </row>
    <row r="5223" spans="1:8" x14ac:dyDescent="0.25">
      <c r="A5223" s="1"/>
      <c r="H5223" s="2"/>
    </row>
    <row r="5224" spans="1:8" x14ac:dyDescent="0.25">
      <c r="A5224" s="1"/>
      <c r="H5224" s="2"/>
    </row>
    <row r="5225" spans="1:8" x14ac:dyDescent="0.25">
      <c r="A5225" s="1"/>
      <c r="H5225" s="2"/>
    </row>
    <row r="5226" spans="1:8" x14ac:dyDescent="0.25">
      <c r="A5226" s="1"/>
      <c r="H5226" s="2"/>
    </row>
    <row r="5227" spans="1:8" x14ac:dyDescent="0.25">
      <c r="A5227" s="1"/>
      <c r="H5227" s="2"/>
    </row>
    <row r="5228" spans="1:8" x14ac:dyDescent="0.25">
      <c r="A5228" s="1"/>
      <c r="H5228" s="2"/>
    </row>
    <row r="5229" spans="1:8" x14ac:dyDescent="0.25">
      <c r="A5229" s="1"/>
      <c r="H5229" s="2"/>
    </row>
    <row r="5230" spans="1:8" x14ac:dyDescent="0.25">
      <c r="A5230" s="1"/>
      <c r="H5230" s="2"/>
    </row>
    <row r="5231" spans="1:8" x14ac:dyDescent="0.25">
      <c r="A5231" s="1"/>
      <c r="H5231" s="2"/>
    </row>
    <row r="5232" spans="1:8" x14ac:dyDescent="0.25">
      <c r="A5232" s="1"/>
      <c r="H5232" s="2"/>
    </row>
    <row r="5233" spans="1:8" x14ac:dyDescent="0.25">
      <c r="A5233" s="1"/>
      <c r="H5233" s="2"/>
    </row>
    <row r="5234" spans="1:8" x14ac:dyDescent="0.25">
      <c r="A5234" s="1"/>
      <c r="H5234" s="2"/>
    </row>
    <row r="5235" spans="1:8" x14ac:dyDescent="0.25">
      <c r="A5235" s="1"/>
      <c r="H5235" s="2"/>
    </row>
    <row r="5236" spans="1:8" x14ac:dyDescent="0.25">
      <c r="A5236" s="1"/>
      <c r="H5236" s="2"/>
    </row>
    <row r="5237" spans="1:8" x14ac:dyDescent="0.25">
      <c r="A5237" s="1"/>
      <c r="H5237" s="2"/>
    </row>
    <row r="5238" spans="1:8" x14ac:dyDescent="0.25">
      <c r="A5238" s="1"/>
      <c r="H5238" s="2"/>
    </row>
    <row r="5239" spans="1:8" x14ac:dyDescent="0.25">
      <c r="A5239" s="1"/>
      <c r="H5239" s="2"/>
    </row>
    <row r="5240" spans="1:8" x14ac:dyDescent="0.25">
      <c r="A5240" s="1"/>
      <c r="H5240" s="2"/>
    </row>
    <row r="5241" spans="1:8" x14ac:dyDescent="0.25">
      <c r="A5241" s="1"/>
      <c r="H5241" s="2"/>
    </row>
    <row r="5242" spans="1:8" x14ac:dyDescent="0.25">
      <c r="A5242" s="1"/>
      <c r="H5242" s="2"/>
    </row>
    <row r="5243" spans="1:8" x14ac:dyDescent="0.25">
      <c r="A5243" s="1"/>
      <c r="H5243" s="2"/>
    </row>
    <row r="5244" spans="1:8" x14ac:dyDescent="0.25">
      <c r="A5244" s="1"/>
      <c r="H5244" s="2"/>
    </row>
    <row r="5245" spans="1:8" x14ac:dyDescent="0.25">
      <c r="A5245" s="1"/>
      <c r="H5245" s="2"/>
    </row>
    <row r="5246" spans="1:8" x14ac:dyDescent="0.25">
      <c r="A5246" s="1"/>
      <c r="H5246" s="2"/>
    </row>
    <row r="5247" spans="1:8" x14ac:dyDescent="0.25">
      <c r="A5247" s="1"/>
      <c r="H5247" s="2"/>
    </row>
    <row r="5248" spans="1:8" x14ac:dyDescent="0.25">
      <c r="A5248" s="1"/>
      <c r="H5248" s="2"/>
    </row>
    <row r="5249" spans="1:8" x14ac:dyDescent="0.25">
      <c r="A5249" s="1"/>
      <c r="H5249" s="2"/>
    </row>
    <row r="5250" spans="1:8" x14ac:dyDescent="0.25">
      <c r="A5250" s="1"/>
      <c r="H5250" s="2"/>
    </row>
    <row r="5251" spans="1:8" x14ac:dyDescent="0.25">
      <c r="A5251" s="1"/>
      <c r="H5251" s="2"/>
    </row>
    <row r="5252" spans="1:8" x14ac:dyDescent="0.25">
      <c r="A5252" s="1"/>
      <c r="H5252" s="2"/>
    </row>
    <row r="5253" spans="1:8" x14ac:dyDescent="0.25">
      <c r="A5253" s="1"/>
      <c r="H5253" s="2"/>
    </row>
    <row r="5254" spans="1:8" x14ac:dyDescent="0.25">
      <c r="A5254" s="1"/>
      <c r="H5254" s="2"/>
    </row>
    <row r="5255" spans="1:8" x14ac:dyDescent="0.25">
      <c r="A5255" s="1"/>
      <c r="H5255" s="2"/>
    </row>
    <row r="5256" spans="1:8" x14ac:dyDescent="0.25">
      <c r="A5256" s="1"/>
      <c r="H5256" s="2"/>
    </row>
    <row r="5257" spans="1:8" x14ac:dyDescent="0.25">
      <c r="A5257" s="1"/>
      <c r="H5257" s="2"/>
    </row>
    <row r="5258" spans="1:8" x14ac:dyDescent="0.25">
      <c r="A5258" s="1"/>
      <c r="H5258" s="2"/>
    </row>
    <row r="5259" spans="1:8" x14ac:dyDescent="0.25">
      <c r="A5259" s="1"/>
      <c r="H5259" s="2"/>
    </row>
    <row r="5260" spans="1:8" x14ac:dyDescent="0.25">
      <c r="A5260" s="1"/>
      <c r="H5260" s="2"/>
    </row>
    <row r="5261" spans="1:8" x14ac:dyDescent="0.25">
      <c r="A5261" s="1"/>
      <c r="H5261" s="2"/>
    </row>
    <row r="5262" spans="1:8" x14ac:dyDescent="0.25">
      <c r="A5262" s="1"/>
      <c r="H5262" s="2"/>
    </row>
    <row r="5263" spans="1:8" x14ac:dyDescent="0.25">
      <c r="A5263" s="1"/>
      <c r="H5263" s="2"/>
    </row>
    <row r="5264" spans="1:8" x14ac:dyDescent="0.25">
      <c r="A5264" s="1"/>
      <c r="H5264" s="2"/>
    </row>
    <row r="5265" spans="1:8" x14ac:dyDescent="0.25">
      <c r="A5265" s="1"/>
      <c r="H5265" s="2"/>
    </row>
    <row r="5266" spans="1:8" x14ac:dyDescent="0.25">
      <c r="A5266" s="1"/>
      <c r="H5266" s="2"/>
    </row>
    <row r="5267" spans="1:8" x14ac:dyDescent="0.25">
      <c r="A5267" s="1"/>
      <c r="H5267" s="2"/>
    </row>
    <row r="5268" spans="1:8" x14ac:dyDescent="0.25">
      <c r="A5268" s="1"/>
      <c r="H5268" s="2"/>
    </row>
    <row r="5269" spans="1:8" x14ac:dyDescent="0.25">
      <c r="A5269" s="1"/>
      <c r="H5269" s="2"/>
    </row>
    <row r="5270" spans="1:8" x14ac:dyDescent="0.25">
      <c r="A5270" s="1"/>
      <c r="H5270" s="2"/>
    </row>
    <row r="5271" spans="1:8" x14ac:dyDescent="0.25">
      <c r="A5271" s="1"/>
      <c r="H5271" s="2"/>
    </row>
    <row r="5272" spans="1:8" x14ac:dyDescent="0.25">
      <c r="A5272" s="1"/>
      <c r="H5272" s="2"/>
    </row>
    <row r="5273" spans="1:8" x14ac:dyDescent="0.25">
      <c r="A5273" s="1"/>
      <c r="H5273" s="2"/>
    </row>
    <row r="5274" spans="1:8" x14ac:dyDescent="0.25">
      <c r="A5274" s="1"/>
      <c r="H5274" s="2"/>
    </row>
    <row r="5275" spans="1:8" x14ac:dyDescent="0.25">
      <c r="A5275" s="1"/>
      <c r="H5275" s="2"/>
    </row>
    <row r="5276" spans="1:8" x14ac:dyDescent="0.25">
      <c r="A5276" s="1"/>
      <c r="H5276" s="2"/>
    </row>
    <row r="5277" spans="1:8" x14ac:dyDescent="0.25">
      <c r="A5277" s="1"/>
      <c r="H5277" s="2"/>
    </row>
    <row r="5278" spans="1:8" x14ac:dyDescent="0.25">
      <c r="A5278" s="1"/>
      <c r="H5278" s="2"/>
    </row>
    <row r="5279" spans="1:8" x14ac:dyDescent="0.25">
      <c r="A5279" s="1"/>
      <c r="H5279" s="2"/>
    </row>
    <row r="5280" spans="1:8" x14ac:dyDescent="0.25">
      <c r="A5280" s="1"/>
      <c r="H5280" s="2"/>
    </row>
    <row r="5281" spans="1:8" x14ac:dyDescent="0.25">
      <c r="A5281" s="1"/>
      <c r="H5281" s="2"/>
    </row>
    <row r="5282" spans="1:8" x14ac:dyDescent="0.25">
      <c r="A5282" s="1"/>
      <c r="H5282" s="2"/>
    </row>
    <row r="5283" spans="1:8" x14ac:dyDescent="0.25">
      <c r="A5283" s="1"/>
      <c r="H5283" s="2"/>
    </row>
    <row r="5284" spans="1:8" x14ac:dyDescent="0.25">
      <c r="A5284" s="1"/>
      <c r="H5284" s="2"/>
    </row>
    <row r="5285" spans="1:8" x14ac:dyDescent="0.25">
      <c r="A5285" s="1"/>
      <c r="H5285" s="2"/>
    </row>
    <row r="5286" spans="1:8" x14ac:dyDescent="0.25">
      <c r="A5286" s="1"/>
      <c r="H5286" s="2"/>
    </row>
    <row r="5287" spans="1:8" x14ac:dyDescent="0.25">
      <c r="A5287" s="1"/>
      <c r="H5287" s="2"/>
    </row>
    <row r="5288" spans="1:8" x14ac:dyDescent="0.25">
      <c r="A5288" s="1"/>
      <c r="H5288" s="2"/>
    </row>
    <row r="5289" spans="1:8" x14ac:dyDescent="0.25">
      <c r="A5289" s="1"/>
      <c r="H5289" s="2"/>
    </row>
    <row r="5290" spans="1:8" x14ac:dyDescent="0.25">
      <c r="A5290" s="1"/>
      <c r="H5290" s="2"/>
    </row>
    <row r="5291" spans="1:8" x14ac:dyDescent="0.25">
      <c r="A5291" s="1"/>
      <c r="H5291" s="2"/>
    </row>
    <row r="5292" spans="1:8" x14ac:dyDescent="0.25">
      <c r="A5292" s="1"/>
      <c r="H5292" s="2"/>
    </row>
    <row r="5293" spans="1:8" x14ac:dyDescent="0.25">
      <c r="A5293" s="1"/>
      <c r="H5293" s="2"/>
    </row>
    <row r="5294" spans="1:8" x14ac:dyDescent="0.25">
      <c r="A5294" s="1"/>
      <c r="H5294" s="2"/>
    </row>
    <row r="5295" spans="1:8" x14ac:dyDescent="0.25">
      <c r="A5295" s="1"/>
      <c r="H5295" s="2"/>
    </row>
    <row r="5296" spans="1:8" x14ac:dyDescent="0.25">
      <c r="A5296" s="1"/>
      <c r="H5296" s="2"/>
    </row>
    <row r="5297" spans="1:8" x14ac:dyDescent="0.25">
      <c r="A5297" s="1"/>
      <c r="H5297" s="2"/>
    </row>
    <row r="5298" spans="1:8" x14ac:dyDescent="0.25">
      <c r="A5298" s="1"/>
      <c r="H5298" s="2"/>
    </row>
    <row r="5299" spans="1:8" x14ac:dyDescent="0.25">
      <c r="A5299" s="1"/>
      <c r="H5299" s="2"/>
    </row>
    <row r="5300" spans="1:8" x14ac:dyDescent="0.25">
      <c r="A5300" s="1"/>
      <c r="H5300" s="2"/>
    </row>
    <row r="5301" spans="1:8" x14ac:dyDescent="0.25">
      <c r="A5301" s="1"/>
      <c r="H5301" s="2"/>
    </row>
    <row r="5302" spans="1:8" x14ac:dyDescent="0.25">
      <c r="A5302" s="1"/>
      <c r="H5302" s="2"/>
    </row>
    <row r="5303" spans="1:8" x14ac:dyDescent="0.25">
      <c r="A5303" s="1"/>
      <c r="H5303" s="2"/>
    </row>
    <row r="5304" spans="1:8" x14ac:dyDescent="0.25">
      <c r="A5304" s="1"/>
      <c r="H5304" s="2"/>
    </row>
    <row r="5305" spans="1:8" x14ac:dyDescent="0.25">
      <c r="A5305" s="1"/>
      <c r="H5305" s="2"/>
    </row>
    <row r="5306" spans="1:8" x14ac:dyDescent="0.25">
      <c r="A5306" s="1"/>
      <c r="H5306" s="2"/>
    </row>
    <row r="5307" spans="1:8" x14ac:dyDescent="0.25">
      <c r="A5307" s="1"/>
      <c r="H5307" s="2"/>
    </row>
    <row r="5308" spans="1:8" x14ac:dyDescent="0.25">
      <c r="A5308" s="1"/>
      <c r="H5308" s="2"/>
    </row>
    <row r="5309" spans="1:8" x14ac:dyDescent="0.25">
      <c r="A5309" s="1"/>
      <c r="H5309" s="2"/>
    </row>
    <row r="5310" spans="1:8" x14ac:dyDescent="0.25">
      <c r="A5310" s="1"/>
      <c r="H5310" s="2"/>
    </row>
    <row r="5311" spans="1:8" x14ac:dyDescent="0.25">
      <c r="A5311" s="1"/>
      <c r="H5311" s="2"/>
    </row>
    <row r="5312" spans="1:8" x14ac:dyDescent="0.25">
      <c r="A5312" s="1"/>
      <c r="H5312" s="2"/>
    </row>
    <row r="5313" spans="1:8" x14ac:dyDescent="0.25">
      <c r="A5313" s="1"/>
      <c r="H5313" s="2"/>
    </row>
    <row r="5314" spans="1:8" x14ac:dyDescent="0.25">
      <c r="A5314" s="1"/>
      <c r="H5314" s="2"/>
    </row>
    <row r="5315" spans="1:8" x14ac:dyDescent="0.25">
      <c r="A5315" s="1"/>
      <c r="H5315" s="2"/>
    </row>
    <row r="5316" spans="1:8" x14ac:dyDescent="0.25">
      <c r="A5316" s="1"/>
      <c r="H5316" s="2"/>
    </row>
    <row r="5317" spans="1:8" x14ac:dyDescent="0.25">
      <c r="A5317" s="1"/>
      <c r="H5317" s="2"/>
    </row>
    <row r="5318" spans="1:8" x14ac:dyDescent="0.25">
      <c r="A5318" s="1"/>
      <c r="H5318" s="2"/>
    </row>
    <row r="5319" spans="1:8" x14ac:dyDescent="0.25">
      <c r="A5319" s="1"/>
      <c r="H5319" s="2"/>
    </row>
    <row r="5320" spans="1:8" x14ac:dyDescent="0.25">
      <c r="A5320" s="1"/>
      <c r="H5320" s="2"/>
    </row>
    <row r="5321" spans="1:8" x14ac:dyDescent="0.25">
      <c r="A5321" s="1"/>
      <c r="H5321" s="2"/>
    </row>
    <row r="5322" spans="1:8" x14ac:dyDescent="0.25">
      <c r="A5322" s="1"/>
      <c r="H5322" s="2"/>
    </row>
    <row r="5323" spans="1:8" x14ac:dyDescent="0.25">
      <c r="A5323" s="1"/>
      <c r="H5323" s="2"/>
    </row>
    <row r="5324" spans="1:8" x14ac:dyDescent="0.25">
      <c r="A5324" s="1"/>
      <c r="H5324" s="2"/>
    </row>
    <row r="5325" spans="1:8" x14ac:dyDescent="0.25">
      <c r="A5325" s="1"/>
      <c r="H5325" s="2"/>
    </row>
    <row r="5326" spans="1:8" x14ac:dyDescent="0.25">
      <c r="A5326" s="1"/>
      <c r="H5326" s="2"/>
    </row>
    <row r="5327" spans="1:8" x14ac:dyDescent="0.25">
      <c r="A5327" s="1"/>
      <c r="H5327" s="2"/>
    </row>
    <row r="5328" spans="1:8" x14ac:dyDescent="0.25">
      <c r="A5328" s="1"/>
      <c r="H5328" s="2"/>
    </row>
    <row r="5329" spans="1:8" x14ac:dyDescent="0.25">
      <c r="A5329" s="1"/>
      <c r="H5329" s="2"/>
    </row>
    <row r="5330" spans="1:8" x14ac:dyDescent="0.25">
      <c r="A5330" s="1"/>
      <c r="H5330" s="2"/>
    </row>
    <row r="5331" spans="1:8" x14ac:dyDescent="0.25">
      <c r="A5331" s="1"/>
      <c r="H5331" s="2"/>
    </row>
    <row r="5332" spans="1:8" x14ac:dyDescent="0.25">
      <c r="A5332" s="1"/>
      <c r="H5332" s="2"/>
    </row>
    <row r="5333" spans="1:8" x14ac:dyDescent="0.25">
      <c r="A5333" s="1"/>
      <c r="H5333" s="2"/>
    </row>
    <row r="5334" spans="1:8" x14ac:dyDescent="0.25">
      <c r="A5334" s="1"/>
      <c r="H5334" s="2"/>
    </row>
    <row r="5335" spans="1:8" x14ac:dyDescent="0.25">
      <c r="A5335" s="1"/>
      <c r="H5335" s="2"/>
    </row>
    <row r="5336" spans="1:8" x14ac:dyDescent="0.25">
      <c r="A5336" s="1"/>
      <c r="H5336" s="2"/>
    </row>
    <row r="5337" spans="1:8" x14ac:dyDescent="0.25">
      <c r="A5337" s="1"/>
      <c r="H5337" s="2"/>
    </row>
    <row r="5338" spans="1:8" x14ac:dyDescent="0.25">
      <c r="A5338" s="1"/>
      <c r="H5338" s="2"/>
    </row>
    <row r="5339" spans="1:8" x14ac:dyDescent="0.25">
      <c r="A5339" s="1"/>
      <c r="H5339" s="2"/>
    </row>
    <row r="5340" spans="1:8" x14ac:dyDescent="0.25">
      <c r="A5340" s="1"/>
      <c r="H5340" s="2"/>
    </row>
    <row r="5341" spans="1:8" x14ac:dyDescent="0.25">
      <c r="A5341" s="1"/>
      <c r="H5341" s="2"/>
    </row>
    <row r="5342" spans="1:8" x14ac:dyDescent="0.25">
      <c r="A5342" s="1"/>
      <c r="H5342" s="2"/>
    </row>
    <row r="5343" spans="1:8" x14ac:dyDescent="0.25">
      <c r="A5343" s="1"/>
      <c r="H5343" s="2"/>
    </row>
    <row r="5344" spans="1:8" x14ac:dyDescent="0.25">
      <c r="A5344" s="1"/>
      <c r="H5344" s="2"/>
    </row>
    <row r="5345" spans="1:8" x14ac:dyDescent="0.25">
      <c r="A5345" s="1"/>
      <c r="H5345" s="2"/>
    </row>
    <row r="5346" spans="1:8" x14ac:dyDescent="0.25">
      <c r="A5346" s="1"/>
      <c r="H5346" s="2"/>
    </row>
    <row r="5347" spans="1:8" x14ac:dyDescent="0.25">
      <c r="A5347" s="1"/>
      <c r="H5347" s="2"/>
    </row>
    <row r="5348" spans="1:8" x14ac:dyDescent="0.25">
      <c r="A5348" s="1"/>
      <c r="H5348" s="2"/>
    </row>
    <row r="5349" spans="1:8" x14ac:dyDescent="0.25">
      <c r="A5349" s="1"/>
      <c r="H5349" s="2"/>
    </row>
    <row r="5350" spans="1:8" x14ac:dyDescent="0.25">
      <c r="A5350" s="1"/>
      <c r="H5350" s="2"/>
    </row>
    <row r="5351" spans="1:8" x14ac:dyDescent="0.25">
      <c r="A5351" s="1"/>
      <c r="H5351" s="2"/>
    </row>
    <row r="5352" spans="1:8" x14ac:dyDescent="0.25">
      <c r="A5352" s="1"/>
      <c r="H5352" s="2"/>
    </row>
    <row r="5353" spans="1:8" x14ac:dyDescent="0.25">
      <c r="A5353" s="1"/>
      <c r="H5353" s="2"/>
    </row>
    <row r="5354" spans="1:8" x14ac:dyDescent="0.25">
      <c r="A5354" s="1"/>
      <c r="H5354" s="2"/>
    </row>
    <row r="5355" spans="1:8" x14ac:dyDescent="0.25">
      <c r="A5355" s="1"/>
      <c r="H5355" s="2"/>
    </row>
    <row r="5356" spans="1:8" x14ac:dyDescent="0.25">
      <c r="A5356" s="1"/>
      <c r="H5356" s="2"/>
    </row>
    <row r="5357" spans="1:8" x14ac:dyDescent="0.25">
      <c r="A5357" s="1"/>
      <c r="H5357" s="2"/>
    </row>
    <row r="5358" spans="1:8" x14ac:dyDescent="0.25">
      <c r="A5358" s="1"/>
      <c r="H5358" s="2"/>
    </row>
    <row r="5359" spans="1:8" x14ac:dyDescent="0.25">
      <c r="A5359" s="1"/>
      <c r="H5359" s="2"/>
    </row>
    <row r="5360" spans="1:8" x14ac:dyDescent="0.25">
      <c r="A5360" s="1"/>
      <c r="H5360" s="2"/>
    </row>
    <row r="5361" spans="1:8" x14ac:dyDescent="0.25">
      <c r="A5361" s="1"/>
      <c r="H5361" s="2"/>
    </row>
    <row r="5362" spans="1:8" x14ac:dyDescent="0.25">
      <c r="A5362" s="1"/>
      <c r="H5362" s="2"/>
    </row>
    <row r="5363" spans="1:8" x14ac:dyDescent="0.25">
      <c r="A5363" s="1"/>
      <c r="H5363" s="2"/>
    </row>
    <row r="5364" spans="1:8" x14ac:dyDescent="0.25">
      <c r="A5364" s="1"/>
      <c r="H5364" s="2"/>
    </row>
    <row r="5365" spans="1:8" x14ac:dyDescent="0.25">
      <c r="A5365" s="1"/>
      <c r="H5365" s="2"/>
    </row>
    <row r="5366" spans="1:8" x14ac:dyDescent="0.25">
      <c r="A5366" s="1"/>
      <c r="H5366" s="2"/>
    </row>
    <row r="5367" spans="1:8" x14ac:dyDescent="0.25">
      <c r="A5367" s="1"/>
      <c r="H5367" s="2"/>
    </row>
    <row r="5368" spans="1:8" x14ac:dyDescent="0.25">
      <c r="A5368" s="1"/>
      <c r="H5368" s="2"/>
    </row>
    <row r="5369" spans="1:8" x14ac:dyDescent="0.25">
      <c r="A5369" s="1"/>
      <c r="H5369" s="2"/>
    </row>
    <row r="5370" spans="1:8" x14ac:dyDescent="0.25">
      <c r="A5370" s="1"/>
      <c r="H5370" s="2"/>
    </row>
    <row r="5371" spans="1:8" x14ac:dyDescent="0.25">
      <c r="A5371" s="1"/>
      <c r="H5371" s="2"/>
    </row>
    <row r="5372" spans="1:8" x14ac:dyDescent="0.25">
      <c r="A5372" s="1"/>
      <c r="H5372" s="2"/>
    </row>
    <row r="5373" spans="1:8" x14ac:dyDescent="0.25">
      <c r="A5373" s="1"/>
      <c r="H5373" s="2"/>
    </row>
    <row r="5374" spans="1:8" x14ac:dyDescent="0.25">
      <c r="A5374" s="1"/>
      <c r="H5374" s="2"/>
    </row>
    <row r="5375" spans="1:8" x14ac:dyDescent="0.25">
      <c r="A5375" s="1"/>
      <c r="H5375" s="2"/>
    </row>
    <row r="5376" spans="1:8" x14ac:dyDescent="0.25">
      <c r="A5376" s="1"/>
      <c r="H5376" s="2"/>
    </row>
    <row r="5377" spans="1:8" x14ac:dyDescent="0.25">
      <c r="A5377" s="1"/>
      <c r="H5377" s="2"/>
    </row>
    <row r="5378" spans="1:8" x14ac:dyDescent="0.25">
      <c r="A5378" s="1"/>
      <c r="H5378" s="2"/>
    </row>
    <row r="5379" spans="1:8" x14ac:dyDescent="0.25">
      <c r="A5379" s="1"/>
      <c r="H5379" s="2"/>
    </row>
    <row r="5380" spans="1:8" x14ac:dyDescent="0.25">
      <c r="A5380" s="1"/>
      <c r="H5380" s="2"/>
    </row>
    <row r="5381" spans="1:8" x14ac:dyDescent="0.25">
      <c r="A5381" s="1"/>
      <c r="H5381" s="2"/>
    </row>
    <row r="5382" spans="1:8" x14ac:dyDescent="0.25">
      <c r="A5382" s="1"/>
      <c r="H5382" s="2"/>
    </row>
    <row r="5383" spans="1:8" x14ac:dyDescent="0.25">
      <c r="A5383" s="1"/>
      <c r="H5383" s="2"/>
    </row>
    <row r="5384" spans="1:8" x14ac:dyDescent="0.25">
      <c r="A5384" s="1"/>
      <c r="H5384" s="2"/>
    </row>
    <row r="5385" spans="1:8" x14ac:dyDescent="0.25">
      <c r="A5385" s="1"/>
      <c r="H5385" s="2"/>
    </row>
    <row r="5386" spans="1:8" x14ac:dyDescent="0.25">
      <c r="A5386" s="1"/>
      <c r="H5386" s="2"/>
    </row>
    <row r="5387" spans="1:8" x14ac:dyDescent="0.25">
      <c r="A5387" s="1"/>
      <c r="H5387" s="2"/>
    </row>
    <row r="5388" spans="1:8" x14ac:dyDescent="0.25">
      <c r="A5388" s="1"/>
      <c r="H5388" s="2"/>
    </row>
    <row r="5389" spans="1:8" x14ac:dyDescent="0.25">
      <c r="A5389" s="1"/>
      <c r="H5389" s="2"/>
    </row>
    <row r="5390" spans="1:8" x14ac:dyDescent="0.25">
      <c r="A5390" s="1"/>
      <c r="H5390" s="2"/>
    </row>
    <row r="5391" spans="1:8" x14ac:dyDescent="0.25">
      <c r="A5391" s="1"/>
      <c r="H5391" s="2"/>
    </row>
    <row r="5392" spans="1:8" x14ac:dyDescent="0.25">
      <c r="A5392" s="1"/>
      <c r="H5392" s="2"/>
    </row>
    <row r="5393" spans="1:8" x14ac:dyDescent="0.25">
      <c r="A5393" s="1"/>
      <c r="H5393" s="2"/>
    </row>
    <row r="5394" spans="1:8" x14ac:dyDescent="0.25">
      <c r="A5394" s="1"/>
      <c r="H5394" s="2"/>
    </row>
    <row r="5395" spans="1:8" x14ac:dyDescent="0.25">
      <c r="A5395" s="1"/>
      <c r="H5395" s="2"/>
    </row>
    <row r="5396" spans="1:8" x14ac:dyDescent="0.25">
      <c r="A5396" s="1"/>
      <c r="H5396" s="2"/>
    </row>
    <row r="5397" spans="1:8" x14ac:dyDescent="0.25">
      <c r="A5397" s="1"/>
      <c r="H5397" s="2"/>
    </row>
    <row r="5398" spans="1:8" x14ac:dyDescent="0.25">
      <c r="A5398" s="1"/>
      <c r="H5398" s="2"/>
    </row>
    <row r="5399" spans="1:8" x14ac:dyDescent="0.25">
      <c r="A5399" s="1"/>
      <c r="H5399" s="2"/>
    </row>
    <row r="5400" spans="1:8" x14ac:dyDescent="0.25">
      <c r="A5400" s="1"/>
      <c r="H5400" s="2"/>
    </row>
    <row r="5401" spans="1:8" x14ac:dyDescent="0.25">
      <c r="A5401" s="1"/>
      <c r="H5401" s="2"/>
    </row>
    <row r="5402" spans="1:8" x14ac:dyDescent="0.25">
      <c r="A5402" s="1"/>
      <c r="H5402" s="2"/>
    </row>
    <row r="5403" spans="1:8" x14ac:dyDescent="0.25">
      <c r="A5403" s="1"/>
      <c r="H5403" s="2"/>
    </row>
    <row r="5404" spans="1:8" x14ac:dyDescent="0.25">
      <c r="A5404" s="1"/>
      <c r="H5404" s="2"/>
    </row>
    <row r="5405" spans="1:8" x14ac:dyDescent="0.25">
      <c r="A5405" s="1"/>
      <c r="H5405" s="2"/>
    </row>
    <row r="5406" spans="1:8" x14ac:dyDescent="0.25">
      <c r="A5406" s="1"/>
      <c r="H5406" s="2"/>
    </row>
    <row r="5407" spans="1:8" x14ac:dyDescent="0.25">
      <c r="A5407" s="1"/>
      <c r="H5407" s="2"/>
    </row>
    <row r="5408" spans="1:8" x14ac:dyDescent="0.25">
      <c r="A5408" s="1"/>
      <c r="H5408" s="2"/>
    </row>
    <row r="5409" spans="1:8" x14ac:dyDescent="0.25">
      <c r="A5409" s="1"/>
      <c r="H5409" s="2"/>
    </row>
    <row r="5410" spans="1:8" x14ac:dyDescent="0.25">
      <c r="A5410" s="1"/>
      <c r="H5410" s="2"/>
    </row>
    <row r="5411" spans="1:8" x14ac:dyDescent="0.25">
      <c r="A5411" s="1"/>
      <c r="H5411" s="2"/>
    </row>
    <row r="5412" spans="1:8" x14ac:dyDescent="0.25">
      <c r="A5412" s="1"/>
      <c r="H5412" s="2"/>
    </row>
    <row r="5413" spans="1:8" x14ac:dyDescent="0.25">
      <c r="A5413" s="1"/>
      <c r="H5413" s="2"/>
    </row>
    <row r="5414" spans="1:8" x14ac:dyDescent="0.25">
      <c r="A5414" s="1"/>
      <c r="H5414" s="2"/>
    </row>
    <row r="5415" spans="1:8" x14ac:dyDescent="0.25">
      <c r="A5415" s="1"/>
      <c r="H5415" s="2"/>
    </row>
    <row r="5416" spans="1:8" x14ac:dyDescent="0.25">
      <c r="A5416" s="1"/>
      <c r="H5416" s="2"/>
    </row>
    <row r="5417" spans="1:8" x14ac:dyDescent="0.25">
      <c r="A5417" s="1"/>
      <c r="H5417" s="2"/>
    </row>
    <row r="5418" spans="1:8" x14ac:dyDescent="0.25">
      <c r="A5418" s="1"/>
      <c r="H5418" s="2"/>
    </row>
    <row r="5419" spans="1:8" x14ac:dyDescent="0.25">
      <c r="A5419" s="1"/>
      <c r="H5419" s="2"/>
    </row>
    <row r="5420" spans="1:8" x14ac:dyDescent="0.25">
      <c r="A5420" s="1"/>
      <c r="H5420" s="2"/>
    </row>
    <row r="5421" spans="1:8" x14ac:dyDescent="0.25">
      <c r="A5421" s="1"/>
      <c r="H5421" s="2"/>
    </row>
    <row r="5422" spans="1:8" x14ac:dyDescent="0.25">
      <c r="A5422" s="1"/>
      <c r="H5422" s="2"/>
    </row>
    <row r="5423" spans="1:8" x14ac:dyDescent="0.25">
      <c r="A5423" s="1"/>
      <c r="H5423" s="2"/>
    </row>
    <row r="5424" spans="1:8" x14ac:dyDescent="0.25">
      <c r="A5424" s="1"/>
      <c r="H5424" s="2"/>
    </row>
    <row r="5425" spans="1:8" x14ac:dyDescent="0.25">
      <c r="A5425" s="1"/>
      <c r="H5425" s="2"/>
    </row>
    <row r="5426" spans="1:8" x14ac:dyDescent="0.25">
      <c r="A5426" s="1"/>
      <c r="H5426" s="2"/>
    </row>
    <row r="5427" spans="1:8" x14ac:dyDescent="0.25">
      <c r="A5427" s="1"/>
      <c r="H5427" s="2"/>
    </row>
    <row r="5428" spans="1:8" x14ac:dyDescent="0.25">
      <c r="A5428" s="1"/>
      <c r="H5428" s="2"/>
    </row>
    <row r="5429" spans="1:8" x14ac:dyDescent="0.25">
      <c r="A5429" s="1"/>
      <c r="H5429" s="2"/>
    </row>
    <row r="5430" spans="1:8" x14ac:dyDescent="0.25">
      <c r="A5430" s="1"/>
      <c r="H5430" s="2"/>
    </row>
    <row r="5431" spans="1:8" x14ac:dyDescent="0.25">
      <c r="A5431" s="1"/>
      <c r="H5431" s="2"/>
    </row>
    <row r="5432" spans="1:8" x14ac:dyDescent="0.25">
      <c r="A5432" s="1"/>
      <c r="H5432" s="2"/>
    </row>
    <row r="5433" spans="1:8" x14ac:dyDescent="0.25">
      <c r="A5433" s="1"/>
      <c r="H5433" s="2"/>
    </row>
    <row r="5434" spans="1:8" x14ac:dyDescent="0.25">
      <c r="A5434" s="1"/>
      <c r="H5434" s="2"/>
    </row>
    <row r="5435" spans="1:8" x14ac:dyDescent="0.25">
      <c r="A5435" s="1"/>
      <c r="H5435" s="2"/>
    </row>
    <row r="5436" spans="1:8" x14ac:dyDescent="0.25">
      <c r="A5436" s="1"/>
      <c r="H5436" s="2"/>
    </row>
    <row r="5437" spans="1:8" x14ac:dyDescent="0.25">
      <c r="A5437" s="1"/>
      <c r="H5437" s="2"/>
    </row>
    <row r="5438" spans="1:8" x14ac:dyDescent="0.25">
      <c r="A5438" s="1"/>
      <c r="H5438" s="2"/>
    </row>
    <row r="5439" spans="1:8" x14ac:dyDescent="0.25">
      <c r="A5439" s="1"/>
      <c r="H5439" s="2"/>
    </row>
    <row r="5440" spans="1:8" x14ac:dyDescent="0.25">
      <c r="A5440" s="1"/>
      <c r="H5440" s="2"/>
    </row>
    <row r="5441" spans="1:8" x14ac:dyDescent="0.25">
      <c r="A5441" s="1"/>
      <c r="H5441" s="2"/>
    </row>
    <row r="5442" spans="1:8" x14ac:dyDescent="0.25">
      <c r="A5442" s="1"/>
      <c r="H5442" s="2"/>
    </row>
    <row r="5443" spans="1:8" x14ac:dyDescent="0.25">
      <c r="A5443" s="1"/>
      <c r="H5443" s="2"/>
    </row>
    <row r="5444" spans="1:8" x14ac:dyDescent="0.25">
      <c r="A5444" s="1"/>
      <c r="H5444" s="2"/>
    </row>
    <row r="5445" spans="1:8" x14ac:dyDescent="0.25">
      <c r="A5445" s="1"/>
      <c r="H5445" s="2"/>
    </row>
    <row r="5446" spans="1:8" x14ac:dyDescent="0.25">
      <c r="A5446" s="1"/>
      <c r="H5446" s="2"/>
    </row>
    <row r="5447" spans="1:8" x14ac:dyDescent="0.25">
      <c r="A5447" s="1"/>
      <c r="H5447" s="2"/>
    </row>
    <row r="5448" spans="1:8" x14ac:dyDescent="0.25">
      <c r="A5448" s="1"/>
      <c r="H5448" s="2"/>
    </row>
    <row r="5449" spans="1:8" x14ac:dyDescent="0.25">
      <c r="A5449" s="1"/>
      <c r="H5449" s="2"/>
    </row>
    <row r="5450" spans="1:8" x14ac:dyDescent="0.25">
      <c r="A5450" s="1"/>
      <c r="H5450" s="2"/>
    </row>
    <row r="5451" spans="1:8" x14ac:dyDescent="0.25">
      <c r="A5451" s="1"/>
      <c r="H5451" s="2"/>
    </row>
    <row r="5452" spans="1:8" x14ac:dyDescent="0.25">
      <c r="A5452" s="1"/>
      <c r="H5452" s="2"/>
    </row>
    <row r="5453" spans="1:8" x14ac:dyDescent="0.25">
      <c r="A5453" s="1"/>
      <c r="H5453" s="2"/>
    </row>
    <row r="5454" spans="1:8" x14ac:dyDescent="0.25">
      <c r="A5454" s="1"/>
      <c r="H5454" s="2"/>
    </row>
    <row r="5455" spans="1:8" x14ac:dyDescent="0.25">
      <c r="A5455" s="1"/>
      <c r="H5455" s="2"/>
    </row>
    <row r="5456" spans="1:8" x14ac:dyDescent="0.25">
      <c r="A5456" s="1"/>
      <c r="H5456" s="2"/>
    </row>
    <row r="5457" spans="1:8" x14ac:dyDescent="0.25">
      <c r="A5457" s="1"/>
      <c r="H5457" s="2"/>
    </row>
    <row r="5458" spans="1:8" x14ac:dyDescent="0.25">
      <c r="A5458" s="1"/>
      <c r="H5458" s="2"/>
    </row>
    <row r="5459" spans="1:8" x14ac:dyDescent="0.25">
      <c r="A5459" s="1"/>
      <c r="H5459" s="2"/>
    </row>
    <row r="5460" spans="1:8" x14ac:dyDescent="0.25">
      <c r="A5460" s="1"/>
      <c r="H5460" s="2"/>
    </row>
    <row r="5461" spans="1:8" x14ac:dyDescent="0.25">
      <c r="A5461" s="1"/>
      <c r="H5461" s="2"/>
    </row>
    <row r="5462" spans="1:8" x14ac:dyDescent="0.25">
      <c r="A5462" s="1"/>
      <c r="H5462" s="2"/>
    </row>
    <row r="5463" spans="1:8" x14ac:dyDescent="0.25">
      <c r="A5463" s="1"/>
      <c r="H5463" s="2"/>
    </row>
    <row r="5464" spans="1:8" x14ac:dyDescent="0.25">
      <c r="A5464" s="1"/>
      <c r="H5464" s="2"/>
    </row>
    <row r="5465" spans="1:8" x14ac:dyDescent="0.25">
      <c r="A5465" s="1"/>
      <c r="H5465" s="2"/>
    </row>
    <row r="5466" spans="1:8" x14ac:dyDescent="0.25">
      <c r="A5466" s="1"/>
      <c r="H5466" s="2"/>
    </row>
    <row r="5467" spans="1:8" x14ac:dyDescent="0.25">
      <c r="A5467" s="1"/>
      <c r="H5467" s="2"/>
    </row>
    <row r="5468" spans="1:8" x14ac:dyDescent="0.25">
      <c r="A5468" s="1"/>
      <c r="H5468" s="2"/>
    </row>
    <row r="5469" spans="1:8" x14ac:dyDescent="0.25">
      <c r="A5469" s="1"/>
      <c r="H5469" s="2"/>
    </row>
    <row r="5470" spans="1:8" x14ac:dyDescent="0.25">
      <c r="A5470" s="1"/>
      <c r="H5470" s="2"/>
    </row>
    <row r="5471" spans="1:8" x14ac:dyDescent="0.25">
      <c r="A5471" s="1"/>
      <c r="H5471" s="2"/>
    </row>
    <row r="5472" spans="1:8" x14ac:dyDescent="0.25">
      <c r="A5472" s="1"/>
      <c r="H5472" s="2"/>
    </row>
    <row r="5473" spans="1:8" x14ac:dyDescent="0.25">
      <c r="A5473" s="1"/>
      <c r="H5473" s="2"/>
    </row>
    <row r="5474" spans="1:8" x14ac:dyDescent="0.25">
      <c r="A5474" s="1"/>
      <c r="H5474" s="2"/>
    </row>
    <row r="5475" spans="1:8" x14ac:dyDescent="0.25">
      <c r="A5475" s="1"/>
      <c r="H5475" s="2"/>
    </row>
    <row r="5476" spans="1:8" x14ac:dyDescent="0.25">
      <c r="A5476" s="1"/>
      <c r="H5476" s="2"/>
    </row>
    <row r="5477" spans="1:8" x14ac:dyDescent="0.25">
      <c r="A5477" s="1"/>
      <c r="H5477" s="2"/>
    </row>
    <row r="5478" spans="1:8" x14ac:dyDescent="0.25">
      <c r="A5478" s="1"/>
      <c r="H5478" s="2"/>
    </row>
    <row r="5479" spans="1:8" x14ac:dyDescent="0.25">
      <c r="A5479" s="1"/>
      <c r="H5479" s="2"/>
    </row>
    <row r="5480" spans="1:8" x14ac:dyDescent="0.25">
      <c r="A5480" s="1"/>
      <c r="H5480" s="2"/>
    </row>
    <row r="5481" spans="1:8" x14ac:dyDescent="0.25">
      <c r="A5481" s="1"/>
      <c r="H5481" s="2"/>
    </row>
    <row r="5482" spans="1:8" x14ac:dyDescent="0.25">
      <c r="A5482" s="1"/>
      <c r="H5482" s="2"/>
    </row>
    <row r="5483" spans="1:8" x14ac:dyDescent="0.25">
      <c r="A5483" s="1"/>
      <c r="H5483" s="2"/>
    </row>
    <row r="5484" spans="1:8" x14ac:dyDescent="0.25">
      <c r="A5484" s="1"/>
      <c r="H5484" s="2"/>
    </row>
    <row r="5485" spans="1:8" x14ac:dyDescent="0.25">
      <c r="A5485" s="1"/>
      <c r="H5485" s="2"/>
    </row>
    <row r="5486" spans="1:8" x14ac:dyDescent="0.25">
      <c r="A5486" s="1"/>
      <c r="H5486" s="2"/>
    </row>
    <row r="5487" spans="1:8" x14ac:dyDescent="0.25">
      <c r="A5487" s="1"/>
      <c r="H5487" s="2"/>
    </row>
    <row r="5488" spans="1:8" x14ac:dyDescent="0.25">
      <c r="A5488" s="1"/>
      <c r="H5488" s="2"/>
    </row>
    <row r="5489" spans="1:8" x14ac:dyDescent="0.25">
      <c r="A5489" s="1"/>
      <c r="H5489" s="2"/>
    </row>
    <row r="5490" spans="1:8" x14ac:dyDescent="0.25">
      <c r="A5490" s="1"/>
      <c r="H5490" s="2"/>
    </row>
    <row r="5491" spans="1:8" x14ac:dyDescent="0.25">
      <c r="A5491" s="1"/>
      <c r="H5491" s="2"/>
    </row>
    <row r="5492" spans="1:8" x14ac:dyDescent="0.25">
      <c r="A5492" s="1"/>
      <c r="H5492" s="2"/>
    </row>
    <row r="5493" spans="1:8" x14ac:dyDescent="0.25">
      <c r="A5493" s="1"/>
      <c r="H5493" s="2"/>
    </row>
    <row r="5494" spans="1:8" x14ac:dyDescent="0.25">
      <c r="A5494" s="1"/>
      <c r="H5494" s="2"/>
    </row>
    <row r="5495" spans="1:8" x14ac:dyDescent="0.25">
      <c r="A5495" s="1"/>
      <c r="H5495" s="2"/>
    </row>
    <row r="5496" spans="1:8" x14ac:dyDescent="0.25">
      <c r="A5496" s="1"/>
      <c r="H5496" s="2"/>
    </row>
    <row r="5497" spans="1:8" x14ac:dyDescent="0.25">
      <c r="A5497" s="1"/>
      <c r="H5497" s="2"/>
    </row>
    <row r="5498" spans="1:8" x14ac:dyDescent="0.25">
      <c r="A5498" s="1"/>
      <c r="H5498" s="2"/>
    </row>
    <row r="5499" spans="1:8" x14ac:dyDescent="0.25">
      <c r="A5499" s="1"/>
      <c r="H5499" s="2"/>
    </row>
    <row r="5500" spans="1:8" x14ac:dyDescent="0.25">
      <c r="A5500" s="1"/>
      <c r="H5500" s="2"/>
    </row>
    <row r="5501" spans="1:8" x14ac:dyDescent="0.25">
      <c r="A5501" s="1"/>
      <c r="H5501" s="2"/>
    </row>
    <row r="5502" spans="1:8" x14ac:dyDescent="0.25">
      <c r="A5502" s="1"/>
      <c r="H5502" s="2"/>
    </row>
    <row r="5503" spans="1:8" x14ac:dyDescent="0.25">
      <c r="A5503" s="1"/>
      <c r="H5503" s="2"/>
    </row>
    <row r="5504" spans="1:8" x14ac:dyDescent="0.25">
      <c r="A5504" s="1"/>
      <c r="H5504" s="2"/>
    </row>
    <row r="5505" spans="1:8" x14ac:dyDescent="0.25">
      <c r="A5505" s="1"/>
      <c r="H5505" s="2"/>
    </row>
    <row r="5506" spans="1:8" x14ac:dyDescent="0.25">
      <c r="A5506" s="1"/>
      <c r="H5506" s="2"/>
    </row>
    <row r="5507" spans="1:8" x14ac:dyDescent="0.25">
      <c r="A5507" s="1"/>
      <c r="H5507" s="2"/>
    </row>
    <row r="5508" spans="1:8" x14ac:dyDescent="0.25">
      <c r="A5508" s="1"/>
      <c r="H5508" s="2"/>
    </row>
    <row r="5509" spans="1:8" x14ac:dyDescent="0.25">
      <c r="A5509" s="1"/>
      <c r="H5509" s="2"/>
    </row>
    <row r="5510" spans="1:8" x14ac:dyDescent="0.25">
      <c r="A5510" s="1"/>
      <c r="H5510" s="2"/>
    </row>
    <row r="5511" spans="1:8" x14ac:dyDescent="0.25">
      <c r="A5511" s="1"/>
      <c r="H5511" s="2"/>
    </row>
    <row r="5512" spans="1:8" x14ac:dyDescent="0.25">
      <c r="A5512" s="1"/>
      <c r="H5512" s="2"/>
    </row>
    <row r="5513" spans="1:8" x14ac:dyDescent="0.25">
      <c r="A5513" s="1"/>
      <c r="H5513" s="2"/>
    </row>
    <row r="5514" spans="1:8" x14ac:dyDescent="0.25">
      <c r="A5514" s="1"/>
      <c r="H5514" s="2"/>
    </row>
    <row r="5515" spans="1:8" x14ac:dyDescent="0.25">
      <c r="A5515" s="1"/>
      <c r="H5515" s="2"/>
    </row>
    <row r="5516" spans="1:8" x14ac:dyDescent="0.25">
      <c r="A5516" s="1"/>
      <c r="H5516" s="2"/>
    </row>
    <row r="5517" spans="1:8" x14ac:dyDescent="0.25">
      <c r="A5517" s="1"/>
      <c r="H5517" s="2"/>
    </row>
    <row r="5518" spans="1:8" x14ac:dyDescent="0.25">
      <c r="A5518" s="1"/>
      <c r="H5518" s="2"/>
    </row>
    <row r="5519" spans="1:8" x14ac:dyDescent="0.25">
      <c r="A5519" s="1"/>
      <c r="H5519" s="2"/>
    </row>
    <row r="5520" spans="1:8" x14ac:dyDescent="0.25">
      <c r="A5520" s="1"/>
      <c r="H5520" s="2"/>
    </row>
    <row r="5521" spans="1:8" x14ac:dyDescent="0.25">
      <c r="A5521" s="1"/>
      <c r="H5521" s="2"/>
    </row>
    <row r="5522" spans="1:8" x14ac:dyDescent="0.25">
      <c r="A5522" s="1"/>
      <c r="H5522" s="2"/>
    </row>
    <row r="5523" spans="1:8" x14ac:dyDescent="0.25">
      <c r="A5523" s="1"/>
      <c r="H5523" s="2"/>
    </row>
    <row r="5524" spans="1:8" x14ac:dyDescent="0.25">
      <c r="A5524" s="1"/>
      <c r="H5524" s="2"/>
    </row>
    <row r="5525" spans="1:8" x14ac:dyDescent="0.25">
      <c r="A5525" s="1"/>
      <c r="H5525" s="2"/>
    </row>
    <row r="5526" spans="1:8" x14ac:dyDescent="0.25">
      <c r="A5526" s="1"/>
      <c r="H5526" s="2"/>
    </row>
    <row r="5527" spans="1:8" x14ac:dyDescent="0.25">
      <c r="A5527" s="1"/>
      <c r="H5527" s="2"/>
    </row>
    <row r="5528" spans="1:8" x14ac:dyDescent="0.25">
      <c r="A5528" s="1"/>
      <c r="H5528" s="2"/>
    </row>
    <row r="5529" spans="1:8" x14ac:dyDescent="0.25">
      <c r="A5529" s="1"/>
      <c r="H5529" s="2"/>
    </row>
    <row r="5530" spans="1:8" x14ac:dyDescent="0.25">
      <c r="A5530" s="1"/>
      <c r="H5530" s="2"/>
    </row>
    <row r="5531" spans="1:8" x14ac:dyDescent="0.25">
      <c r="A5531" s="1"/>
      <c r="H5531" s="2"/>
    </row>
    <row r="5532" spans="1:8" x14ac:dyDescent="0.25">
      <c r="A5532" s="1"/>
      <c r="H5532" s="2"/>
    </row>
    <row r="5533" spans="1:8" x14ac:dyDescent="0.25">
      <c r="A5533" s="1"/>
      <c r="H5533" s="2"/>
    </row>
    <row r="5534" spans="1:8" x14ac:dyDescent="0.25">
      <c r="A5534" s="1"/>
      <c r="H5534" s="2"/>
    </row>
    <row r="5535" spans="1:8" x14ac:dyDescent="0.25">
      <c r="A5535" s="1"/>
      <c r="H5535" s="2"/>
    </row>
    <row r="5536" spans="1:8" x14ac:dyDescent="0.25">
      <c r="A5536" s="1"/>
      <c r="H5536" s="2"/>
    </row>
    <row r="5537" spans="1:8" x14ac:dyDescent="0.25">
      <c r="A5537" s="1"/>
      <c r="H5537" s="2"/>
    </row>
    <row r="5538" spans="1:8" x14ac:dyDescent="0.25">
      <c r="A5538" s="1"/>
      <c r="H5538" s="2"/>
    </row>
    <row r="5539" spans="1:8" x14ac:dyDescent="0.25">
      <c r="A5539" s="1"/>
      <c r="H5539" s="2"/>
    </row>
    <row r="5540" spans="1:8" x14ac:dyDescent="0.25">
      <c r="A5540" s="1"/>
      <c r="H5540" s="2"/>
    </row>
    <row r="5541" spans="1:8" x14ac:dyDescent="0.25">
      <c r="A5541" s="1"/>
      <c r="H5541" s="2"/>
    </row>
    <row r="5542" spans="1:8" x14ac:dyDescent="0.25">
      <c r="A5542" s="1"/>
      <c r="H5542" s="2"/>
    </row>
    <row r="5543" spans="1:8" x14ac:dyDescent="0.25">
      <c r="A5543" s="1"/>
      <c r="H5543" s="2"/>
    </row>
    <row r="5544" spans="1:8" x14ac:dyDescent="0.25">
      <c r="A5544" s="1"/>
      <c r="H5544" s="2"/>
    </row>
    <row r="5545" spans="1:8" x14ac:dyDescent="0.25">
      <c r="A5545" s="1"/>
      <c r="H5545" s="2"/>
    </row>
    <row r="5546" spans="1:8" x14ac:dyDescent="0.25">
      <c r="A5546" s="1"/>
      <c r="H5546" s="2"/>
    </row>
    <row r="5547" spans="1:8" x14ac:dyDescent="0.25">
      <c r="A5547" s="1"/>
      <c r="H5547" s="2"/>
    </row>
    <row r="5548" spans="1:8" x14ac:dyDescent="0.25">
      <c r="A5548" s="1"/>
      <c r="H5548" s="2"/>
    </row>
    <row r="5549" spans="1:8" x14ac:dyDescent="0.25">
      <c r="A5549" s="1"/>
      <c r="H5549" s="2"/>
    </row>
    <row r="5550" spans="1:8" x14ac:dyDescent="0.25">
      <c r="A5550" s="1"/>
      <c r="H5550" s="2"/>
    </row>
    <row r="5551" spans="1:8" x14ac:dyDescent="0.25">
      <c r="A5551" s="1"/>
      <c r="H5551" s="2"/>
    </row>
    <row r="5552" spans="1:8" x14ac:dyDescent="0.25">
      <c r="A5552" s="1"/>
      <c r="H5552" s="2"/>
    </row>
    <row r="5553" spans="1:8" x14ac:dyDescent="0.25">
      <c r="A5553" s="1"/>
      <c r="H5553" s="2"/>
    </row>
    <row r="5554" spans="1:8" x14ac:dyDescent="0.25">
      <c r="A5554" s="1"/>
      <c r="H5554" s="2"/>
    </row>
    <row r="5555" spans="1:8" x14ac:dyDescent="0.25">
      <c r="A5555" s="1"/>
      <c r="H5555" s="2"/>
    </row>
    <row r="5556" spans="1:8" x14ac:dyDescent="0.25">
      <c r="A5556" s="1"/>
      <c r="H5556" s="2"/>
    </row>
    <row r="5557" spans="1:8" x14ac:dyDescent="0.25">
      <c r="A5557" s="1"/>
      <c r="H5557" s="2"/>
    </row>
    <row r="5558" spans="1:8" x14ac:dyDescent="0.25">
      <c r="A5558" s="1"/>
      <c r="H5558" s="2"/>
    </row>
    <row r="5559" spans="1:8" x14ac:dyDescent="0.25">
      <c r="A5559" s="1"/>
      <c r="H5559" s="2"/>
    </row>
    <row r="5560" spans="1:8" x14ac:dyDescent="0.25">
      <c r="A5560" s="1"/>
      <c r="H5560" s="2"/>
    </row>
    <row r="5561" spans="1:8" x14ac:dyDescent="0.25">
      <c r="A5561" s="1"/>
      <c r="H5561" s="2"/>
    </row>
    <row r="5562" spans="1:8" x14ac:dyDescent="0.25">
      <c r="A5562" s="1"/>
      <c r="H5562" s="2"/>
    </row>
    <row r="5563" spans="1:8" x14ac:dyDescent="0.25">
      <c r="A5563" s="1"/>
      <c r="H5563" s="2"/>
    </row>
    <row r="5564" spans="1:8" x14ac:dyDescent="0.25">
      <c r="A5564" s="1"/>
      <c r="H5564" s="2"/>
    </row>
    <row r="5565" spans="1:8" x14ac:dyDescent="0.25">
      <c r="A5565" s="1"/>
      <c r="H5565" s="2"/>
    </row>
    <row r="5566" spans="1:8" x14ac:dyDescent="0.25">
      <c r="A5566" s="1"/>
      <c r="H5566" s="2"/>
    </row>
    <row r="5567" spans="1:8" x14ac:dyDescent="0.25">
      <c r="A5567" s="1"/>
      <c r="H5567" s="2"/>
    </row>
    <row r="5568" spans="1:8" x14ac:dyDescent="0.25">
      <c r="A5568" s="1"/>
      <c r="H5568" s="2"/>
    </row>
    <row r="5569" spans="1:8" x14ac:dyDescent="0.25">
      <c r="A5569" s="1"/>
      <c r="H5569" s="2"/>
    </row>
    <row r="5570" spans="1:8" x14ac:dyDescent="0.25">
      <c r="A5570" s="1"/>
      <c r="H5570" s="2"/>
    </row>
    <row r="5571" spans="1:8" x14ac:dyDescent="0.25">
      <c r="A5571" s="1"/>
      <c r="H5571" s="2"/>
    </row>
    <row r="5572" spans="1:8" x14ac:dyDescent="0.25">
      <c r="A5572" s="1"/>
      <c r="H5572" s="2"/>
    </row>
    <row r="5573" spans="1:8" x14ac:dyDescent="0.25">
      <c r="A5573" s="1"/>
      <c r="H5573" s="2"/>
    </row>
    <row r="5574" spans="1:8" x14ac:dyDescent="0.25">
      <c r="A5574" s="1"/>
      <c r="H5574" s="2"/>
    </row>
    <row r="5575" spans="1:8" x14ac:dyDescent="0.25">
      <c r="A5575" s="1"/>
      <c r="H5575" s="2"/>
    </row>
    <row r="5576" spans="1:8" x14ac:dyDescent="0.25">
      <c r="A5576" s="1"/>
      <c r="H5576" s="2"/>
    </row>
    <row r="5577" spans="1:8" x14ac:dyDescent="0.25">
      <c r="A5577" s="1"/>
      <c r="H5577" s="2"/>
    </row>
    <row r="5578" spans="1:8" x14ac:dyDescent="0.25">
      <c r="A5578" s="1"/>
      <c r="H5578" s="2"/>
    </row>
    <row r="5579" spans="1:8" x14ac:dyDescent="0.25">
      <c r="A5579" s="1"/>
      <c r="H5579" s="2"/>
    </row>
    <row r="5580" spans="1:8" x14ac:dyDescent="0.25">
      <c r="A5580" s="1"/>
      <c r="H5580" s="2"/>
    </row>
    <row r="5581" spans="1:8" x14ac:dyDescent="0.25">
      <c r="A5581" s="1"/>
      <c r="H5581" s="2"/>
    </row>
    <row r="5582" spans="1:8" x14ac:dyDescent="0.25">
      <c r="A5582" s="1"/>
      <c r="H5582" s="2"/>
    </row>
    <row r="5583" spans="1:8" x14ac:dyDescent="0.25">
      <c r="A5583" s="1"/>
      <c r="H5583" s="2"/>
    </row>
    <row r="5584" spans="1:8" x14ac:dyDescent="0.25">
      <c r="A5584" s="1"/>
      <c r="H5584" s="2"/>
    </row>
    <row r="5585" spans="1:8" x14ac:dyDescent="0.25">
      <c r="A5585" s="1"/>
      <c r="H5585" s="2"/>
    </row>
    <row r="5586" spans="1:8" x14ac:dyDescent="0.25">
      <c r="A5586" s="1"/>
      <c r="H5586" s="2"/>
    </row>
    <row r="5587" spans="1:8" x14ac:dyDescent="0.25">
      <c r="A5587" s="1"/>
      <c r="H5587" s="2"/>
    </row>
    <row r="5588" spans="1:8" x14ac:dyDescent="0.25">
      <c r="A5588" s="1"/>
      <c r="H5588" s="2"/>
    </row>
    <row r="5589" spans="1:8" x14ac:dyDescent="0.25">
      <c r="A5589" s="1"/>
      <c r="H5589" s="2"/>
    </row>
    <row r="5590" spans="1:8" x14ac:dyDescent="0.25">
      <c r="A5590" s="1"/>
      <c r="H5590" s="2"/>
    </row>
    <row r="5591" spans="1:8" x14ac:dyDescent="0.25">
      <c r="A5591" s="1"/>
      <c r="H5591" s="2"/>
    </row>
    <row r="5592" spans="1:8" x14ac:dyDescent="0.25">
      <c r="A5592" s="1"/>
      <c r="H5592" s="2"/>
    </row>
    <row r="5593" spans="1:8" x14ac:dyDescent="0.25">
      <c r="A5593" s="1"/>
      <c r="H5593" s="2"/>
    </row>
    <row r="5594" spans="1:8" x14ac:dyDescent="0.25">
      <c r="A5594" s="1"/>
      <c r="H5594" s="2"/>
    </row>
    <row r="5595" spans="1:8" x14ac:dyDescent="0.25">
      <c r="A5595" s="1"/>
      <c r="H5595" s="2"/>
    </row>
    <row r="5596" spans="1:8" x14ac:dyDescent="0.25">
      <c r="A5596" s="1"/>
      <c r="H5596" s="2"/>
    </row>
    <row r="5597" spans="1:8" x14ac:dyDescent="0.25">
      <c r="A5597" s="1"/>
      <c r="H5597" s="2"/>
    </row>
    <row r="5598" spans="1:8" x14ac:dyDescent="0.25">
      <c r="A5598" s="1"/>
      <c r="H5598" s="2"/>
    </row>
    <row r="5599" spans="1:8" x14ac:dyDescent="0.25">
      <c r="A5599" s="1"/>
      <c r="H5599" s="2"/>
    </row>
    <row r="5600" spans="1:8" x14ac:dyDescent="0.25">
      <c r="A5600" s="1"/>
      <c r="H5600" s="2"/>
    </row>
    <row r="5601" spans="1:8" x14ac:dyDescent="0.25">
      <c r="A5601" s="1"/>
      <c r="H5601" s="2"/>
    </row>
    <row r="5602" spans="1:8" x14ac:dyDescent="0.25">
      <c r="A5602" s="1"/>
      <c r="H5602" s="2"/>
    </row>
    <row r="5603" spans="1:8" x14ac:dyDescent="0.25">
      <c r="A5603" s="1"/>
      <c r="H5603" s="2"/>
    </row>
    <row r="5604" spans="1:8" x14ac:dyDescent="0.25">
      <c r="A5604" s="1"/>
      <c r="H5604" s="2"/>
    </row>
    <row r="5605" spans="1:8" x14ac:dyDescent="0.25">
      <c r="A5605" s="1"/>
      <c r="H5605" s="2"/>
    </row>
    <row r="5606" spans="1:8" x14ac:dyDescent="0.25">
      <c r="A5606" s="1"/>
      <c r="H5606" s="2"/>
    </row>
    <row r="5607" spans="1:8" x14ac:dyDescent="0.25">
      <c r="A5607" s="1"/>
      <c r="H5607" s="2"/>
    </row>
    <row r="5608" spans="1:8" x14ac:dyDescent="0.25">
      <c r="A5608" s="1"/>
      <c r="H5608" s="2"/>
    </row>
    <row r="5609" spans="1:8" x14ac:dyDescent="0.25">
      <c r="A5609" s="1"/>
      <c r="H5609" s="2"/>
    </row>
    <row r="5610" spans="1:8" x14ac:dyDescent="0.25">
      <c r="A5610" s="1"/>
      <c r="H5610" s="2"/>
    </row>
    <row r="5611" spans="1:8" x14ac:dyDescent="0.25">
      <c r="A5611" s="1"/>
      <c r="H5611" s="2"/>
    </row>
    <row r="5612" spans="1:8" x14ac:dyDescent="0.25">
      <c r="A5612" s="1"/>
      <c r="H5612" s="2"/>
    </row>
    <row r="5613" spans="1:8" x14ac:dyDescent="0.25">
      <c r="A5613" s="1"/>
      <c r="H5613" s="2"/>
    </row>
    <row r="5614" spans="1:8" x14ac:dyDescent="0.25">
      <c r="A5614" s="1"/>
      <c r="H5614" s="2"/>
    </row>
    <row r="5615" spans="1:8" x14ac:dyDescent="0.25">
      <c r="A5615" s="1"/>
      <c r="H5615" s="2"/>
    </row>
    <row r="5616" spans="1:8" x14ac:dyDescent="0.25">
      <c r="A5616" s="1"/>
      <c r="H5616" s="2"/>
    </row>
    <row r="5617" spans="1:8" x14ac:dyDescent="0.25">
      <c r="A5617" s="1"/>
      <c r="H5617" s="2"/>
    </row>
    <row r="5618" spans="1:8" x14ac:dyDescent="0.25">
      <c r="A5618" s="1"/>
      <c r="H5618" s="2"/>
    </row>
    <row r="5619" spans="1:8" x14ac:dyDescent="0.25">
      <c r="A5619" s="1"/>
      <c r="H5619" s="2"/>
    </row>
    <row r="5620" spans="1:8" x14ac:dyDescent="0.25">
      <c r="A5620" s="1"/>
      <c r="H5620" s="2"/>
    </row>
    <row r="5621" spans="1:8" x14ac:dyDescent="0.25">
      <c r="A5621" s="1"/>
      <c r="H5621" s="2"/>
    </row>
    <row r="5622" spans="1:8" x14ac:dyDescent="0.25">
      <c r="A5622" s="1"/>
      <c r="H5622" s="2"/>
    </row>
    <row r="5623" spans="1:8" x14ac:dyDescent="0.25">
      <c r="A5623" s="1"/>
      <c r="H5623" s="2"/>
    </row>
    <row r="5624" spans="1:8" x14ac:dyDescent="0.25">
      <c r="A5624" s="1"/>
      <c r="H5624" s="2"/>
    </row>
    <row r="5625" spans="1:8" x14ac:dyDescent="0.25">
      <c r="A5625" s="1"/>
      <c r="H5625" s="2"/>
    </row>
    <row r="5626" spans="1:8" x14ac:dyDescent="0.25">
      <c r="A5626" s="1"/>
      <c r="H5626" s="2"/>
    </row>
    <row r="5627" spans="1:8" x14ac:dyDescent="0.25">
      <c r="A5627" s="1"/>
      <c r="H5627" s="2"/>
    </row>
    <row r="5628" spans="1:8" x14ac:dyDescent="0.25">
      <c r="A5628" s="1"/>
      <c r="H5628" s="2"/>
    </row>
    <row r="5629" spans="1:8" x14ac:dyDescent="0.25">
      <c r="A5629" s="1"/>
      <c r="H5629" s="2"/>
    </row>
    <row r="5630" spans="1:8" x14ac:dyDescent="0.25">
      <c r="A5630" s="1"/>
      <c r="H5630" s="2"/>
    </row>
    <row r="5631" spans="1:8" x14ac:dyDescent="0.25">
      <c r="A5631" s="1"/>
      <c r="H5631" s="2"/>
    </row>
    <row r="5632" spans="1:8" x14ac:dyDescent="0.25">
      <c r="A5632" s="1"/>
      <c r="H5632" s="2"/>
    </row>
    <row r="5633" spans="1:8" x14ac:dyDescent="0.25">
      <c r="A5633" s="1"/>
      <c r="H5633" s="2"/>
    </row>
    <row r="5634" spans="1:8" x14ac:dyDescent="0.25">
      <c r="A5634" s="1"/>
      <c r="H5634" s="2"/>
    </row>
    <row r="5635" spans="1:8" x14ac:dyDescent="0.25">
      <c r="A5635" s="1"/>
      <c r="H5635" s="2"/>
    </row>
    <row r="5636" spans="1:8" x14ac:dyDescent="0.25">
      <c r="A5636" s="1"/>
      <c r="H5636" s="2"/>
    </row>
    <row r="5637" spans="1:8" x14ac:dyDescent="0.25">
      <c r="A5637" s="1"/>
      <c r="H5637" s="2"/>
    </row>
    <row r="5638" spans="1:8" x14ac:dyDescent="0.25">
      <c r="A5638" s="1"/>
      <c r="H5638" s="2"/>
    </row>
    <row r="5639" spans="1:8" x14ac:dyDescent="0.25">
      <c r="A5639" s="1"/>
      <c r="H5639" s="2"/>
    </row>
    <row r="5640" spans="1:8" x14ac:dyDescent="0.25">
      <c r="A5640" s="1"/>
      <c r="H5640" s="2"/>
    </row>
    <row r="5641" spans="1:8" x14ac:dyDescent="0.25">
      <c r="A5641" s="1"/>
      <c r="H5641" s="2"/>
    </row>
    <row r="5642" spans="1:8" x14ac:dyDescent="0.25">
      <c r="A5642" s="1"/>
      <c r="H5642" s="2"/>
    </row>
    <row r="5643" spans="1:8" x14ac:dyDescent="0.25">
      <c r="A5643" s="1"/>
      <c r="H5643" s="2"/>
    </row>
    <row r="5644" spans="1:8" x14ac:dyDescent="0.25">
      <c r="A5644" s="1"/>
      <c r="H5644" s="2"/>
    </row>
    <row r="5645" spans="1:8" x14ac:dyDescent="0.25">
      <c r="A5645" s="1"/>
      <c r="H5645" s="2"/>
    </row>
    <row r="5646" spans="1:8" x14ac:dyDescent="0.25">
      <c r="A5646" s="1"/>
      <c r="H5646" s="2"/>
    </row>
    <row r="5647" spans="1:8" x14ac:dyDescent="0.25">
      <c r="A5647" s="1"/>
      <c r="H5647" s="2"/>
    </row>
    <row r="5648" spans="1:8" x14ac:dyDescent="0.25">
      <c r="A5648" s="1"/>
      <c r="H5648" s="2"/>
    </row>
    <row r="5649" spans="1:8" x14ac:dyDescent="0.25">
      <c r="A5649" s="1"/>
      <c r="H5649" s="2"/>
    </row>
    <row r="5650" spans="1:8" x14ac:dyDescent="0.25">
      <c r="A5650" s="1"/>
      <c r="H5650" s="2"/>
    </row>
    <row r="5651" spans="1:8" x14ac:dyDescent="0.25">
      <c r="A5651" s="1"/>
      <c r="H5651" s="2"/>
    </row>
    <row r="5652" spans="1:8" x14ac:dyDescent="0.25">
      <c r="A5652" s="1"/>
      <c r="H5652" s="2"/>
    </row>
    <row r="5653" spans="1:8" x14ac:dyDescent="0.25">
      <c r="A5653" s="1"/>
      <c r="H5653" s="2"/>
    </row>
    <row r="5654" spans="1:8" x14ac:dyDescent="0.25">
      <c r="A5654" s="1"/>
      <c r="H5654" s="2"/>
    </row>
    <row r="5655" spans="1:8" x14ac:dyDescent="0.25">
      <c r="A5655" s="1"/>
      <c r="H5655" s="2"/>
    </row>
    <row r="5656" spans="1:8" x14ac:dyDescent="0.25">
      <c r="A5656" s="1"/>
      <c r="H5656" s="2"/>
    </row>
    <row r="5657" spans="1:8" x14ac:dyDescent="0.25">
      <c r="A5657" s="1"/>
      <c r="H5657" s="2"/>
    </row>
    <row r="5658" spans="1:8" x14ac:dyDescent="0.25">
      <c r="A5658" s="1"/>
      <c r="H5658" s="2"/>
    </row>
    <row r="5659" spans="1:8" x14ac:dyDescent="0.25">
      <c r="A5659" s="1"/>
      <c r="H5659" s="2"/>
    </row>
    <row r="5660" spans="1:8" x14ac:dyDescent="0.25">
      <c r="A5660" s="1"/>
      <c r="H5660" s="2"/>
    </row>
    <row r="5661" spans="1:8" x14ac:dyDescent="0.25">
      <c r="A5661" s="1"/>
      <c r="H5661" s="2"/>
    </row>
    <row r="5662" spans="1:8" x14ac:dyDescent="0.25">
      <c r="A5662" s="1"/>
      <c r="H5662" s="2"/>
    </row>
    <row r="5663" spans="1:8" x14ac:dyDescent="0.25">
      <c r="A5663" s="1"/>
      <c r="H5663" s="2"/>
    </row>
    <row r="5664" spans="1:8" x14ac:dyDescent="0.25">
      <c r="A5664" s="1"/>
      <c r="H5664" s="2"/>
    </row>
    <row r="5665" spans="1:8" x14ac:dyDescent="0.25">
      <c r="A5665" s="1"/>
      <c r="H5665" s="2"/>
    </row>
    <row r="5666" spans="1:8" x14ac:dyDescent="0.25">
      <c r="A5666" s="1"/>
      <c r="H5666" s="2"/>
    </row>
    <row r="5667" spans="1:8" x14ac:dyDescent="0.25">
      <c r="A5667" s="1"/>
      <c r="H5667" s="2"/>
    </row>
    <row r="5668" spans="1:8" x14ac:dyDescent="0.25">
      <c r="A5668" s="1"/>
      <c r="H5668" s="2"/>
    </row>
    <row r="5669" spans="1:8" x14ac:dyDescent="0.25">
      <c r="A5669" s="1"/>
      <c r="H5669" s="2"/>
    </row>
    <row r="5670" spans="1:8" x14ac:dyDescent="0.25">
      <c r="A5670" s="1"/>
      <c r="H5670" s="2"/>
    </row>
    <row r="5671" spans="1:8" x14ac:dyDescent="0.25">
      <c r="A5671" s="1"/>
      <c r="H5671" s="2"/>
    </row>
    <row r="5672" spans="1:8" x14ac:dyDescent="0.25">
      <c r="A5672" s="1"/>
      <c r="H5672" s="2"/>
    </row>
    <row r="5673" spans="1:8" x14ac:dyDescent="0.25">
      <c r="A5673" s="1"/>
      <c r="H5673" s="2"/>
    </row>
    <row r="5674" spans="1:8" x14ac:dyDescent="0.25">
      <c r="A5674" s="1"/>
      <c r="H5674" s="2"/>
    </row>
    <row r="5675" spans="1:8" x14ac:dyDescent="0.25">
      <c r="A5675" s="1"/>
      <c r="H5675" s="2"/>
    </row>
    <row r="5676" spans="1:8" x14ac:dyDescent="0.25">
      <c r="A5676" s="1"/>
      <c r="H5676" s="2"/>
    </row>
    <row r="5677" spans="1:8" x14ac:dyDescent="0.25">
      <c r="A5677" s="1"/>
      <c r="H5677" s="2"/>
    </row>
    <row r="5678" spans="1:8" x14ac:dyDescent="0.25">
      <c r="A5678" s="1"/>
      <c r="H5678" s="2"/>
    </row>
    <row r="5679" spans="1:8" x14ac:dyDescent="0.25">
      <c r="A5679" s="1"/>
      <c r="H5679" s="2"/>
    </row>
    <row r="5680" spans="1:8" x14ac:dyDescent="0.25">
      <c r="A5680" s="1"/>
      <c r="H5680" s="2"/>
    </row>
    <row r="5681" spans="1:8" x14ac:dyDescent="0.25">
      <c r="A5681" s="1"/>
      <c r="H5681" s="2"/>
    </row>
    <row r="5682" spans="1:8" x14ac:dyDescent="0.25">
      <c r="A5682" s="1"/>
      <c r="H5682" s="2"/>
    </row>
    <row r="5683" spans="1:8" x14ac:dyDescent="0.25">
      <c r="A5683" s="1"/>
      <c r="H5683" s="2"/>
    </row>
    <row r="5684" spans="1:8" x14ac:dyDescent="0.25">
      <c r="A5684" s="1"/>
      <c r="H5684" s="2"/>
    </row>
    <row r="5685" spans="1:8" x14ac:dyDescent="0.25">
      <c r="A5685" s="1"/>
      <c r="H5685" s="2"/>
    </row>
    <row r="5686" spans="1:8" x14ac:dyDescent="0.25">
      <c r="A5686" s="1"/>
      <c r="H5686" s="2"/>
    </row>
    <row r="5687" spans="1:8" x14ac:dyDescent="0.25">
      <c r="A5687" s="1"/>
      <c r="H5687" s="2"/>
    </row>
    <row r="5688" spans="1:8" x14ac:dyDescent="0.25">
      <c r="A5688" s="1"/>
      <c r="H5688" s="2"/>
    </row>
    <row r="5689" spans="1:8" x14ac:dyDescent="0.25">
      <c r="A5689" s="1"/>
      <c r="H5689" s="2"/>
    </row>
    <row r="5690" spans="1:8" x14ac:dyDescent="0.25">
      <c r="A5690" s="1"/>
      <c r="H5690" s="2"/>
    </row>
    <row r="5691" spans="1:8" x14ac:dyDescent="0.25">
      <c r="A5691" s="1"/>
      <c r="H5691" s="2"/>
    </row>
    <row r="5692" spans="1:8" x14ac:dyDescent="0.25">
      <c r="A5692" s="1"/>
      <c r="H5692" s="2"/>
    </row>
    <row r="5693" spans="1:8" x14ac:dyDescent="0.25">
      <c r="A5693" s="1"/>
      <c r="H5693" s="2"/>
    </row>
    <row r="5694" spans="1:8" x14ac:dyDescent="0.25">
      <c r="A5694" s="1"/>
      <c r="H5694" s="2"/>
    </row>
    <row r="5695" spans="1:8" x14ac:dyDescent="0.25">
      <c r="A5695" s="1"/>
      <c r="H5695" s="2"/>
    </row>
    <row r="5696" spans="1:8" x14ac:dyDescent="0.25">
      <c r="A5696" s="1"/>
      <c r="H5696" s="2"/>
    </row>
    <row r="5697" spans="1:8" x14ac:dyDescent="0.25">
      <c r="A5697" s="1"/>
      <c r="H5697" s="2"/>
    </row>
    <row r="5698" spans="1:8" x14ac:dyDescent="0.25">
      <c r="A5698" s="1"/>
      <c r="H5698" s="2"/>
    </row>
    <row r="5699" spans="1:8" x14ac:dyDescent="0.25">
      <c r="A5699" s="1"/>
      <c r="H5699" s="2"/>
    </row>
    <row r="5700" spans="1:8" x14ac:dyDescent="0.25">
      <c r="A5700" s="1"/>
      <c r="H5700" s="2"/>
    </row>
    <row r="5701" spans="1:8" x14ac:dyDescent="0.25">
      <c r="A5701" s="1"/>
      <c r="H5701" s="2"/>
    </row>
    <row r="5702" spans="1:8" x14ac:dyDescent="0.25">
      <c r="A5702" s="1"/>
      <c r="H5702" s="2"/>
    </row>
    <row r="5703" spans="1:8" x14ac:dyDescent="0.25">
      <c r="A5703" s="1"/>
      <c r="H5703" s="2"/>
    </row>
    <row r="5704" spans="1:8" x14ac:dyDescent="0.25">
      <c r="A5704" s="1"/>
      <c r="H5704" s="2"/>
    </row>
    <row r="5705" spans="1:8" x14ac:dyDescent="0.25">
      <c r="A5705" s="1"/>
      <c r="H5705" s="2"/>
    </row>
    <row r="5706" spans="1:8" x14ac:dyDescent="0.25">
      <c r="A5706" s="1"/>
      <c r="H5706" s="2"/>
    </row>
    <row r="5707" spans="1:8" x14ac:dyDescent="0.25">
      <c r="A5707" s="1"/>
      <c r="H5707" s="2"/>
    </row>
    <row r="5708" spans="1:8" x14ac:dyDescent="0.25">
      <c r="A5708" s="1"/>
      <c r="H5708" s="2"/>
    </row>
    <row r="5709" spans="1:8" x14ac:dyDescent="0.25">
      <c r="A5709" s="1"/>
      <c r="H5709" s="2"/>
    </row>
    <row r="5710" spans="1:8" x14ac:dyDescent="0.25">
      <c r="A5710" s="1"/>
      <c r="H5710" s="2"/>
    </row>
    <row r="5711" spans="1:8" x14ac:dyDescent="0.25">
      <c r="A5711" s="1"/>
      <c r="H5711" s="2"/>
    </row>
    <row r="5712" spans="1:8" x14ac:dyDescent="0.25">
      <c r="A5712" s="1"/>
      <c r="H5712" s="2"/>
    </row>
    <row r="5713" spans="1:8" x14ac:dyDescent="0.25">
      <c r="A5713" s="1"/>
      <c r="H5713" s="2"/>
    </row>
    <row r="5714" spans="1:8" x14ac:dyDescent="0.25">
      <c r="A5714" s="1"/>
      <c r="H5714" s="2"/>
    </row>
    <row r="5715" spans="1:8" x14ac:dyDescent="0.25">
      <c r="A5715" s="1"/>
      <c r="H5715" s="2"/>
    </row>
    <row r="5716" spans="1:8" x14ac:dyDescent="0.25">
      <c r="A5716" s="1"/>
      <c r="H5716" s="2"/>
    </row>
    <row r="5717" spans="1:8" x14ac:dyDescent="0.25">
      <c r="A5717" s="1"/>
      <c r="H5717" s="2"/>
    </row>
    <row r="5718" spans="1:8" x14ac:dyDescent="0.25">
      <c r="A5718" s="1"/>
      <c r="H5718" s="2"/>
    </row>
    <row r="5719" spans="1:8" x14ac:dyDescent="0.25">
      <c r="A5719" s="1"/>
      <c r="H5719" s="2"/>
    </row>
    <row r="5720" spans="1:8" x14ac:dyDescent="0.25">
      <c r="A5720" s="1"/>
      <c r="H5720" s="2"/>
    </row>
    <row r="5721" spans="1:8" x14ac:dyDescent="0.25">
      <c r="A5721" s="1"/>
      <c r="H5721" s="2"/>
    </row>
    <row r="5722" spans="1:8" x14ac:dyDescent="0.25">
      <c r="A5722" s="1"/>
      <c r="H5722" s="2"/>
    </row>
    <row r="5723" spans="1:8" x14ac:dyDescent="0.25">
      <c r="A5723" s="1"/>
      <c r="H5723" s="2"/>
    </row>
    <row r="5724" spans="1:8" x14ac:dyDescent="0.25">
      <c r="A5724" s="1"/>
      <c r="H5724" s="2"/>
    </row>
    <row r="5725" spans="1:8" x14ac:dyDescent="0.25">
      <c r="A5725" s="1"/>
      <c r="H5725" s="2"/>
    </row>
    <row r="5726" spans="1:8" x14ac:dyDescent="0.25">
      <c r="A5726" s="1"/>
      <c r="H5726" s="2"/>
    </row>
    <row r="5727" spans="1:8" x14ac:dyDescent="0.25">
      <c r="A5727" s="1"/>
      <c r="H5727" s="2"/>
    </row>
    <row r="5728" spans="1:8" x14ac:dyDescent="0.25">
      <c r="A5728" s="1"/>
      <c r="H5728" s="2"/>
    </row>
    <row r="5729" spans="1:8" x14ac:dyDescent="0.25">
      <c r="A5729" s="1"/>
      <c r="H5729" s="2"/>
    </row>
    <row r="5730" spans="1:8" x14ac:dyDescent="0.25">
      <c r="A5730" s="1"/>
      <c r="H5730" s="2"/>
    </row>
    <row r="5731" spans="1:8" x14ac:dyDescent="0.25">
      <c r="A5731" s="1"/>
      <c r="H5731" s="2"/>
    </row>
    <row r="5732" spans="1:8" x14ac:dyDescent="0.25">
      <c r="A5732" s="1"/>
      <c r="H5732" s="2"/>
    </row>
    <row r="5733" spans="1:8" x14ac:dyDescent="0.25">
      <c r="A5733" s="1"/>
      <c r="H5733" s="2"/>
    </row>
    <row r="5734" spans="1:8" x14ac:dyDescent="0.25">
      <c r="A5734" s="1"/>
      <c r="H5734" s="2"/>
    </row>
    <row r="5735" spans="1:8" x14ac:dyDescent="0.25">
      <c r="A5735" s="1"/>
      <c r="H5735" s="2"/>
    </row>
    <row r="5736" spans="1:8" x14ac:dyDescent="0.25">
      <c r="A5736" s="1"/>
      <c r="H5736" s="2"/>
    </row>
    <row r="5737" spans="1:8" x14ac:dyDescent="0.25">
      <c r="A5737" s="1"/>
      <c r="H5737" s="2"/>
    </row>
    <row r="5738" spans="1:8" x14ac:dyDescent="0.25">
      <c r="A5738" s="1"/>
      <c r="H5738" s="2"/>
    </row>
    <row r="5739" spans="1:8" x14ac:dyDescent="0.25">
      <c r="A5739" s="1"/>
      <c r="H5739" s="2"/>
    </row>
    <row r="5740" spans="1:8" x14ac:dyDescent="0.25">
      <c r="A5740" s="1"/>
      <c r="H5740" s="2"/>
    </row>
    <row r="5741" spans="1:8" x14ac:dyDescent="0.25">
      <c r="A5741" s="1"/>
      <c r="H5741" s="2"/>
    </row>
    <row r="5742" spans="1:8" x14ac:dyDescent="0.25">
      <c r="A5742" s="1"/>
      <c r="H5742" s="2"/>
    </row>
    <row r="5743" spans="1:8" x14ac:dyDescent="0.25">
      <c r="A5743" s="1"/>
      <c r="H5743" s="2"/>
    </row>
    <row r="5744" spans="1:8" x14ac:dyDescent="0.25">
      <c r="A5744" s="1"/>
      <c r="H5744" s="2"/>
    </row>
    <row r="5745" spans="1:8" x14ac:dyDescent="0.25">
      <c r="A5745" s="1"/>
      <c r="H5745" s="2"/>
    </row>
    <row r="5746" spans="1:8" x14ac:dyDescent="0.25">
      <c r="A5746" s="1"/>
      <c r="H5746" s="2"/>
    </row>
    <row r="5747" spans="1:8" x14ac:dyDescent="0.25">
      <c r="A5747" s="1"/>
      <c r="H5747" s="2"/>
    </row>
    <row r="5748" spans="1:8" x14ac:dyDescent="0.25">
      <c r="A5748" s="1"/>
      <c r="H5748" s="2"/>
    </row>
    <row r="5749" spans="1:8" x14ac:dyDescent="0.25">
      <c r="A5749" s="1"/>
      <c r="H5749" s="2"/>
    </row>
    <row r="5750" spans="1:8" x14ac:dyDescent="0.25">
      <c r="A5750" s="1"/>
      <c r="H5750" s="2"/>
    </row>
    <row r="5751" spans="1:8" x14ac:dyDescent="0.25">
      <c r="A5751" s="1"/>
      <c r="H5751" s="2"/>
    </row>
    <row r="5752" spans="1:8" x14ac:dyDescent="0.25">
      <c r="A5752" s="1"/>
      <c r="H5752" s="2"/>
    </row>
    <row r="5753" spans="1:8" x14ac:dyDescent="0.25">
      <c r="A5753" s="1"/>
      <c r="H5753" s="2"/>
    </row>
    <row r="5754" spans="1:8" x14ac:dyDescent="0.25">
      <c r="A5754" s="1"/>
      <c r="H5754" s="2"/>
    </row>
    <row r="5755" spans="1:8" x14ac:dyDescent="0.25">
      <c r="A5755" s="1"/>
      <c r="H5755" s="2"/>
    </row>
    <row r="5756" spans="1:8" x14ac:dyDescent="0.25">
      <c r="A5756" s="1"/>
      <c r="H5756" s="2"/>
    </row>
    <row r="5757" spans="1:8" x14ac:dyDescent="0.25">
      <c r="A5757" s="1"/>
      <c r="H5757" s="2"/>
    </row>
    <row r="5758" spans="1:8" x14ac:dyDescent="0.25">
      <c r="A5758" s="1"/>
      <c r="H5758" s="2"/>
    </row>
    <row r="5759" spans="1:8" x14ac:dyDescent="0.25">
      <c r="A5759" s="1"/>
      <c r="H5759" s="2"/>
    </row>
    <row r="5760" spans="1:8" x14ac:dyDescent="0.25">
      <c r="A5760" s="1"/>
      <c r="H5760" s="2"/>
    </row>
    <row r="5761" spans="1:8" x14ac:dyDescent="0.25">
      <c r="A5761" s="1"/>
      <c r="H5761" s="2"/>
    </row>
    <row r="5762" spans="1:8" x14ac:dyDescent="0.25">
      <c r="A5762" s="1"/>
      <c r="H5762" s="2"/>
    </row>
    <row r="5763" spans="1:8" x14ac:dyDescent="0.25">
      <c r="A5763" s="1"/>
      <c r="H5763" s="2"/>
    </row>
    <row r="5764" spans="1:8" x14ac:dyDescent="0.25">
      <c r="A5764" s="1"/>
      <c r="H5764" s="2"/>
    </row>
    <row r="5765" spans="1:8" x14ac:dyDescent="0.25">
      <c r="A5765" s="1"/>
      <c r="H5765" s="2"/>
    </row>
    <row r="5766" spans="1:8" x14ac:dyDescent="0.25">
      <c r="A5766" s="1"/>
      <c r="H5766" s="2"/>
    </row>
    <row r="5767" spans="1:8" x14ac:dyDescent="0.25">
      <c r="A5767" s="1"/>
      <c r="H5767" s="2"/>
    </row>
    <row r="5768" spans="1:8" x14ac:dyDescent="0.25">
      <c r="A5768" s="1"/>
      <c r="H5768" s="2"/>
    </row>
    <row r="5769" spans="1:8" x14ac:dyDescent="0.25">
      <c r="A5769" s="1"/>
      <c r="H5769" s="2"/>
    </row>
    <row r="5770" spans="1:8" x14ac:dyDescent="0.25">
      <c r="A5770" s="1"/>
      <c r="H5770" s="2"/>
    </row>
    <row r="5771" spans="1:8" x14ac:dyDescent="0.25">
      <c r="A5771" s="1"/>
      <c r="H5771" s="2"/>
    </row>
    <row r="5772" spans="1:8" x14ac:dyDescent="0.25">
      <c r="A5772" s="1"/>
      <c r="H5772" s="2"/>
    </row>
    <row r="5773" spans="1:8" x14ac:dyDescent="0.25">
      <c r="A5773" s="1"/>
      <c r="H5773" s="2"/>
    </row>
    <row r="5774" spans="1:8" x14ac:dyDescent="0.25">
      <c r="A5774" s="1"/>
      <c r="H5774" s="2"/>
    </row>
    <row r="5775" spans="1:8" x14ac:dyDescent="0.25">
      <c r="A5775" s="1"/>
      <c r="H5775" s="2"/>
    </row>
    <row r="5776" spans="1:8" x14ac:dyDescent="0.25">
      <c r="A5776" s="1"/>
      <c r="H5776" s="2"/>
    </row>
    <row r="5777" spans="1:8" x14ac:dyDescent="0.25">
      <c r="A5777" s="1"/>
      <c r="H5777" s="2"/>
    </row>
    <row r="5778" spans="1:8" x14ac:dyDescent="0.25">
      <c r="A5778" s="1"/>
      <c r="H5778" s="2"/>
    </row>
    <row r="5779" spans="1:8" x14ac:dyDescent="0.25">
      <c r="A5779" s="1"/>
      <c r="H5779" s="2"/>
    </row>
    <row r="5780" spans="1:8" x14ac:dyDescent="0.25">
      <c r="A5780" s="1"/>
      <c r="H5780" s="2"/>
    </row>
    <row r="5781" spans="1:8" x14ac:dyDescent="0.25">
      <c r="A5781" s="1"/>
      <c r="H5781" s="2"/>
    </row>
    <row r="5782" spans="1:8" x14ac:dyDescent="0.25">
      <c r="A5782" s="1"/>
      <c r="H5782" s="2"/>
    </row>
    <row r="5783" spans="1:8" x14ac:dyDescent="0.25">
      <c r="A5783" s="1"/>
      <c r="H5783" s="2"/>
    </row>
    <row r="5784" spans="1:8" x14ac:dyDescent="0.25">
      <c r="A5784" s="1"/>
      <c r="H5784" s="2"/>
    </row>
    <row r="5785" spans="1:8" x14ac:dyDescent="0.25">
      <c r="A5785" s="1"/>
      <c r="H5785" s="2"/>
    </row>
    <row r="5786" spans="1:8" x14ac:dyDescent="0.25">
      <c r="A5786" s="1"/>
      <c r="H5786" s="2"/>
    </row>
    <row r="5787" spans="1:8" x14ac:dyDescent="0.25">
      <c r="A5787" s="1"/>
      <c r="H5787" s="2"/>
    </row>
    <row r="5788" spans="1:8" x14ac:dyDescent="0.25">
      <c r="A5788" s="1"/>
      <c r="H5788" s="2"/>
    </row>
    <row r="5789" spans="1:8" x14ac:dyDescent="0.25">
      <c r="A5789" s="1"/>
      <c r="H5789" s="2"/>
    </row>
    <row r="5790" spans="1:8" x14ac:dyDescent="0.25">
      <c r="A5790" s="1"/>
      <c r="H5790" s="2"/>
    </row>
    <row r="5791" spans="1:8" x14ac:dyDescent="0.25">
      <c r="A5791" s="1"/>
      <c r="H5791" s="2"/>
    </row>
    <row r="5792" spans="1:8" x14ac:dyDescent="0.25">
      <c r="A5792" s="1"/>
      <c r="H5792" s="2"/>
    </row>
    <row r="5793" spans="1:8" x14ac:dyDescent="0.25">
      <c r="A5793" s="1"/>
      <c r="H5793" s="2"/>
    </row>
    <row r="5794" spans="1:8" x14ac:dyDescent="0.25">
      <c r="A5794" s="1"/>
      <c r="H5794" s="2"/>
    </row>
    <row r="5795" spans="1:8" x14ac:dyDescent="0.25">
      <c r="A5795" s="1"/>
      <c r="H5795" s="2"/>
    </row>
    <row r="5796" spans="1:8" x14ac:dyDescent="0.25">
      <c r="A5796" s="1"/>
      <c r="H5796" s="2"/>
    </row>
    <row r="5797" spans="1:8" x14ac:dyDescent="0.25">
      <c r="A5797" s="1"/>
      <c r="H5797" s="2"/>
    </row>
    <row r="5798" spans="1:8" x14ac:dyDescent="0.25">
      <c r="A5798" s="1"/>
      <c r="H5798" s="2"/>
    </row>
    <row r="5799" spans="1:8" x14ac:dyDescent="0.25">
      <c r="A5799" s="1"/>
      <c r="H5799" s="2"/>
    </row>
    <row r="5800" spans="1:8" x14ac:dyDescent="0.25">
      <c r="A5800" s="1"/>
      <c r="H5800" s="2"/>
    </row>
    <row r="5801" spans="1:8" x14ac:dyDescent="0.25">
      <c r="A5801" s="1"/>
      <c r="H5801" s="2"/>
    </row>
    <row r="5802" spans="1:8" x14ac:dyDescent="0.25">
      <c r="A5802" s="1"/>
      <c r="H5802" s="2"/>
    </row>
    <row r="5803" spans="1:8" x14ac:dyDescent="0.25">
      <c r="A5803" s="1"/>
      <c r="H5803" s="2"/>
    </row>
    <row r="5804" spans="1:8" x14ac:dyDescent="0.25">
      <c r="A5804" s="1"/>
      <c r="H5804" s="2"/>
    </row>
    <row r="5805" spans="1:8" x14ac:dyDescent="0.25">
      <c r="A5805" s="1"/>
      <c r="H5805" s="2"/>
    </row>
    <row r="5806" spans="1:8" x14ac:dyDescent="0.25">
      <c r="A5806" s="1"/>
      <c r="H5806" s="2"/>
    </row>
    <row r="5807" spans="1:8" x14ac:dyDescent="0.25">
      <c r="A5807" s="1"/>
      <c r="H5807" s="2"/>
    </row>
    <row r="5808" spans="1:8" x14ac:dyDescent="0.25">
      <c r="A5808" s="1"/>
      <c r="H5808" s="2"/>
    </row>
    <row r="5809" spans="1:8" x14ac:dyDescent="0.25">
      <c r="A5809" s="1"/>
      <c r="H5809" s="2"/>
    </row>
    <row r="5810" spans="1:8" x14ac:dyDescent="0.25">
      <c r="A5810" s="1"/>
      <c r="H5810" s="2"/>
    </row>
    <row r="5811" spans="1:8" x14ac:dyDescent="0.25">
      <c r="A5811" s="1"/>
      <c r="H5811" s="2"/>
    </row>
    <row r="5812" spans="1:8" x14ac:dyDescent="0.25">
      <c r="A5812" s="1"/>
      <c r="H5812" s="2"/>
    </row>
    <row r="5813" spans="1:8" x14ac:dyDescent="0.25">
      <c r="A5813" s="1"/>
      <c r="H5813" s="2"/>
    </row>
    <row r="5814" spans="1:8" x14ac:dyDescent="0.25">
      <c r="A5814" s="1"/>
      <c r="H5814" s="2"/>
    </row>
    <row r="5815" spans="1:8" x14ac:dyDescent="0.25">
      <c r="A5815" s="1"/>
      <c r="H5815" s="2"/>
    </row>
    <row r="5816" spans="1:8" x14ac:dyDescent="0.25">
      <c r="A5816" s="1"/>
      <c r="H5816" s="2"/>
    </row>
    <row r="5817" spans="1:8" x14ac:dyDescent="0.25">
      <c r="A5817" s="1"/>
      <c r="H5817" s="2"/>
    </row>
    <row r="5818" spans="1:8" x14ac:dyDescent="0.25">
      <c r="A5818" s="1"/>
      <c r="H5818" s="2"/>
    </row>
    <row r="5819" spans="1:8" x14ac:dyDescent="0.25">
      <c r="A5819" s="1"/>
      <c r="H5819" s="2"/>
    </row>
    <row r="5820" spans="1:8" x14ac:dyDescent="0.25">
      <c r="A5820" s="1"/>
      <c r="H5820" s="2"/>
    </row>
    <row r="5821" spans="1:8" x14ac:dyDescent="0.25">
      <c r="A5821" s="1"/>
      <c r="H5821" s="2"/>
    </row>
    <row r="5822" spans="1:8" x14ac:dyDescent="0.25">
      <c r="A5822" s="1"/>
      <c r="H5822" s="2"/>
    </row>
    <row r="5823" spans="1:8" x14ac:dyDescent="0.25">
      <c r="A5823" s="1"/>
      <c r="H5823" s="2"/>
    </row>
    <row r="5824" spans="1:8" x14ac:dyDescent="0.25">
      <c r="A5824" s="1"/>
      <c r="H5824" s="2"/>
    </row>
    <row r="5825" spans="1:8" x14ac:dyDescent="0.25">
      <c r="A5825" s="1"/>
      <c r="H5825" s="2"/>
    </row>
    <row r="5826" spans="1:8" x14ac:dyDescent="0.25">
      <c r="A5826" s="1"/>
      <c r="H5826" s="2"/>
    </row>
    <row r="5827" spans="1:8" x14ac:dyDescent="0.25">
      <c r="A5827" s="1"/>
      <c r="H5827" s="2"/>
    </row>
    <row r="5828" spans="1:8" x14ac:dyDescent="0.25">
      <c r="A5828" s="1"/>
      <c r="H5828" s="2"/>
    </row>
    <row r="5829" spans="1:8" x14ac:dyDescent="0.25">
      <c r="A5829" s="1"/>
      <c r="H5829" s="2"/>
    </row>
    <row r="5830" spans="1:8" x14ac:dyDescent="0.25">
      <c r="A5830" s="1"/>
      <c r="H5830" s="2"/>
    </row>
    <row r="5831" spans="1:8" x14ac:dyDescent="0.25">
      <c r="A5831" s="1"/>
      <c r="H5831" s="2"/>
    </row>
    <row r="5832" spans="1:8" x14ac:dyDescent="0.25">
      <c r="A5832" s="1"/>
      <c r="H5832" s="2"/>
    </row>
    <row r="5833" spans="1:8" x14ac:dyDescent="0.25">
      <c r="A5833" s="1"/>
      <c r="H5833" s="2"/>
    </row>
    <row r="5834" spans="1:8" x14ac:dyDescent="0.25">
      <c r="A5834" s="1"/>
      <c r="H5834" s="2"/>
    </row>
    <row r="5835" spans="1:8" x14ac:dyDescent="0.25">
      <c r="A5835" s="1"/>
      <c r="H5835" s="2"/>
    </row>
    <row r="5836" spans="1:8" x14ac:dyDescent="0.25">
      <c r="A5836" s="1"/>
      <c r="H5836" s="2"/>
    </row>
    <row r="5837" spans="1:8" x14ac:dyDescent="0.25">
      <c r="A5837" s="1"/>
      <c r="H5837" s="2"/>
    </row>
    <row r="5838" spans="1:8" x14ac:dyDescent="0.25">
      <c r="A5838" s="1"/>
      <c r="H5838" s="2"/>
    </row>
    <row r="5839" spans="1:8" x14ac:dyDescent="0.25">
      <c r="A5839" s="1"/>
      <c r="H5839" s="2"/>
    </row>
    <row r="5840" spans="1:8" x14ac:dyDescent="0.25">
      <c r="A5840" s="1"/>
      <c r="H5840" s="2"/>
    </row>
    <row r="5841" spans="1:8" x14ac:dyDescent="0.25">
      <c r="A5841" s="1"/>
      <c r="H5841" s="2"/>
    </row>
    <row r="5842" spans="1:8" x14ac:dyDescent="0.25">
      <c r="A5842" s="1"/>
      <c r="H5842" s="2"/>
    </row>
    <row r="5843" spans="1:8" x14ac:dyDescent="0.25">
      <c r="A5843" s="1"/>
      <c r="H5843" s="2"/>
    </row>
    <row r="5844" spans="1:8" x14ac:dyDescent="0.25">
      <c r="A5844" s="1"/>
      <c r="H5844" s="2"/>
    </row>
    <row r="5845" spans="1:8" x14ac:dyDescent="0.25">
      <c r="A5845" s="1"/>
      <c r="H5845" s="2"/>
    </row>
    <row r="5846" spans="1:8" x14ac:dyDescent="0.25">
      <c r="A5846" s="1"/>
      <c r="H5846" s="2"/>
    </row>
    <row r="5847" spans="1:8" x14ac:dyDescent="0.25">
      <c r="A5847" s="1"/>
      <c r="H5847" s="2"/>
    </row>
    <row r="5848" spans="1:8" x14ac:dyDescent="0.25">
      <c r="A5848" s="1"/>
      <c r="H5848" s="2"/>
    </row>
    <row r="5849" spans="1:8" x14ac:dyDescent="0.25">
      <c r="A5849" s="1"/>
      <c r="H5849" s="2"/>
    </row>
    <row r="5850" spans="1:8" x14ac:dyDescent="0.25">
      <c r="A5850" s="1"/>
      <c r="H5850" s="2"/>
    </row>
    <row r="5851" spans="1:8" x14ac:dyDescent="0.25">
      <c r="A5851" s="1"/>
      <c r="H5851" s="2"/>
    </row>
    <row r="5852" spans="1:8" x14ac:dyDescent="0.25">
      <c r="A5852" s="1"/>
      <c r="H5852" s="2"/>
    </row>
    <row r="5853" spans="1:8" x14ac:dyDescent="0.25">
      <c r="A5853" s="1"/>
      <c r="H5853" s="2"/>
    </row>
    <row r="5854" spans="1:8" x14ac:dyDescent="0.25">
      <c r="A5854" s="1"/>
      <c r="H5854" s="2"/>
    </row>
    <row r="5855" spans="1:8" x14ac:dyDescent="0.25">
      <c r="A5855" s="1"/>
      <c r="H5855" s="2"/>
    </row>
    <row r="5856" spans="1:8" x14ac:dyDescent="0.25">
      <c r="A5856" s="1"/>
      <c r="H5856" s="2"/>
    </row>
    <row r="5857" spans="1:8" x14ac:dyDescent="0.25">
      <c r="A5857" s="1"/>
      <c r="H5857" s="2"/>
    </row>
    <row r="5858" spans="1:8" x14ac:dyDescent="0.25">
      <c r="A5858" s="1"/>
      <c r="H5858" s="2"/>
    </row>
    <row r="5859" spans="1:8" x14ac:dyDescent="0.25">
      <c r="A5859" s="1"/>
      <c r="H5859" s="2"/>
    </row>
    <row r="5860" spans="1:8" x14ac:dyDescent="0.25">
      <c r="A5860" s="1"/>
      <c r="H5860" s="2"/>
    </row>
    <row r="5861" spans="1:8" x14ac:dyDescent="0.25">
      <c r="A5861" s="1"/>
      <c r="H5861" s="2"/>
    </row>
    <row r="5862" spans="1:8" x14ac:dyDescent="0.25">
      <c r="A5862" s="1"/>
      <c r="H5862" s="2"/>
    </row>
    <row r="5863" spans="1:8" x14ac:dyDescent="0.25">
      <c r="A5863" s="1"/>
      <c r="H5863" s="2"/>
    </row>
    <row r="5864" spans="1:8" x14ac:dyDescent="0.25">
      <c r="A5864" s="1"/>
      <c r="H5864" s="2"/>
    </row>
    <row r="5865" spans="1:8" x14ac:dyDescent="0.25">
      <c r="A5865" s="1"/>
      <c r="H5865" s="2"/>
    </row>
    <row r="5866" spans="1:8" x14ac:dyDescent="0.25">
      <c r="A5866" s="1"/>
      <c r="H5866" s="2"/>
    </row>
    <row r="5867" spans="1:8" x14ac:dyDescent="0.25">
      <c r="A5867" s="1"/>
      <c r="H5867" s="2"/>
    </row>
    <row r="5868" spans="1:8" x14ac:dyDescent="0.25">
      <c r="A5868" s="1"/>
      <c r="H5868" s="2"/>
    </row>
    <row r="5869" spans="1:8" x14ac:dyDescent="0.25">
      <c r="A5869" s="1"/>
      <c r="H5869" s="2"/>
    </row>
    <row r="5870" spans="1:8" x14ac:dyDescent="0.25">
      <c r="A5870" s="1"/>
      <c r="H5870" s="2"/>
    </row>
    <row r="5871" spans="1:8" x14ac:dyDescent="0.25">
      <c r="A5871" s="1"/>
      <c r="H5871" s="2"/>
    </row>
    <row r="5872" spans="1:8" x14ac:dyDescent="0.25">
      <c r="A5872" s="1"/>
      <c r="H5872" s="2"/>
    </row>
    <row r="5873" spans="1:8" x14ac:dyDescent="0.25">
      <c r="A5873" s="1"/>
      <c r="H5873" s="2"/>
    </row>
    <row r="5874" spans="1:8" x14ac:dyDescent="0.25">
      <c r="A5874" s="1"/>
      <c r="H5874" s="2"/>
    </row>
    <row r="5875" spans="1:8" x14ac:dyDescent="0.25">
      <c r="A5875" s="1"/>
      <c r="H5875" s="2"/>
    </row>
    <row r="5876" spans="1:8" x14ac:dyDescent="0.25">
      <c r="A5876" s="1"/>
      <c r="H5876" s="2"/>
    </row>
    <row r="5877" spans="1:8" x14ac:dyDescent="0.25">
      <c r="A5877" s="1"/>
      <c r="H5877" s="2"/>
    </row>
    <row r="5878" spans="1:8" x14ac:dyDescent="0.25">
      <c r="A5878" s="1"/>
      <c r="H5878" s="2"/>
    </row>
    <row r="5879" spans="1:8" x14ac:dyDescent="0.25">
      <c r="A5879" s="1"/>
      <c r="H5879" s="2"/>
    </row>
    <row r="5880" spans="1:8" x14ac:dyDescent="0.25">
      <c r="A5880" s="1"/>
      <c r="H5880" s="2"/>
    </row>
    <row r="5881" spans="1:8" x14ac:dyDescent="0.25">
      <c r="A5881" s="1"/>
      <c r="H5881" s="2"/>
    </row>
    <row r="5882" spans="1:8" x14ac:dyDescent="0.25">
      <c r="A5882" s="1"/>
      <c r="H5882" s="2"/>
    </row>
    <row r="5883" spans="1:8" x14ac:dyDescent="0.25">
      <c r="A5883" s="1"/>
      <c r="H5883" s="2"/>
    </row>
    <row r="5884" spans="1:8" x14ac:dyDescent="0.25">
      <c r="A5884" s="1"/>
      <c r="H5884" s="2"/>
    </row>
    <row r="5885" spans="1:8" x14ac:dyDescent="0.25">
      <c r="A5885" s="1"/>
      <c r="H5885" s="2"/>
    </row>
    <row r="5886" spans="1:8" x14ac:dyDescent="0.25">
      <c r="A5886" s="1"/>
      <c r="H5886" s="2"/>
    </row>
    <row r="5887" spans="1:8" x14ac:dyDescent="0.25">
      <c r="A5887" s="1"/>
      <c r="H5887" s="2"/>
    </row>
    <row r="5888" spans="1:8" x14ac:dyDescent="0.25">
      <c r="A5888" s="1"/>
      <c r="H5888" s="2"/>
    </row>
    <row r="5889" spans="1:8" x14ac:dyDescent="0.25">
      <c r="A5889" s="1"/>
      <c r="H5889" s="2"/>
    </row>
    <row r="5890" spans="1:8" x14ac:dyDescent="0.25">
      <c r="A5890" s="1"/>
      <c r="H5890" s="2"/>
    </row>
    <row r="5891" spans="1:8" x14ac:dyDescent="0.25">
      <c r="A5891" s="1"/>
      <c r="H5891" s="2"/>
    </row>
    <row r="5892" spans="1:8" x14ac:dyDescent="0.25">
      <c r="A5892" s="1"/>
      <c r="H5892" s="2"/>
    </row>
    <row r="5893" spans="1:8" x14ac:dyDescent="0.25">
      <c r="A5893" s="1"/>
      <c r="H5893" s="2"/>
    </row>
    <row r="5894" spans="1:8" x14ac:dyDescent="0.25">
      <c r="A5894" s="1"/>
      <c r="H5894" s="2"/>
    </row>
    <row r="5895" spans="1:8" x14ac:dyDescent="0.25">
      <c r="A5895" s="1"/>
      <c r="H5895" s="2"/>
    </row>
    <row r="5896" spans="1:8" x14ac:dyDescent="0.25">
      <c r="A5896" s="1"/>
      <c r="H5896" s="2"/>
    </row>
    <row r="5897" spans="1:8" x14ac:dyDescent="0.25">
      <c r="A5897" s="1"/>
      <c r="H5897" s="2"/>
    </row>
    <row r="5898" spans="1:8" x14ac:dyDescent="0.25">
      <c r="A5898" s="1"/>
      <c r="H5898" s="2"/>
    </row>
    <row r="5899" spans="1:8" x14ac:dyDescent="0.25">
      <c r="A5899" s="1"/>
      <c r="H5899" s="2"/>
    </row>
    <row r="5900" spans="1:8" x14ac:dyDescent="0.25">
      <c r="A5900" s="1"/>
      <c r="H5900" s="2"/>
    </row>
    <row r="5901" spans="1:8" x14ac:dyDescent="0.25">
      <c r="A5901" s="1"/>
      <c r="H5901" s="2"/>
    </row>
    <row r="5902" spans="1:8" x14ac:dyDescent="0.25">
      <c r="A5902" s="1"/>
      <c r="H5902" s="2"/>
    </row>
    <row r="5903" spans="1:8" x14ac:dyDescent="0.25">
      <c r="A5903" s="1"/>
      <c r="H5903" s="2"/>
    </row>
    <row r="5904" spans="1:8" x14ac:dyDescent="0.25">
      <c r="A5904" s="1"/>
      <c r="H5904" s="2"/>
    </row>
    <row r="5905" spans="1:8" x14ac:dyDescent="0.25">
      <c r="A5905" s="1"/>
      <c r="H5905" s="2"/>
    </row>
    <row r="5906" spans="1:8" x14ac:dyDescent="0.25">
      <c r="A5906" s="1"/>
      <c r="H5906" s="2"/>
    </row>
    <row r="5907" spans="1:8" x14ac:dyDescent="0.25">
      <c r="A5907" s="1"/>
      <c r="H5907" s="2"/>
    </row>
    <row r="5908" spans="1:8" x14ac:dyDescent="0.25">
      <c r="A5908" s="1"/>
      <c r="H5908" s="2"/>
    </row>
    <row r="5909" spans="1:8" x14ac:dyDescent="0.25">
      <c r="A5909" s="1"/>
      <c r="H5909" s="2"/>
    </row>
    <row r="5910" spans="1:8" x14ac:dyDescent="0.25">
      <c r="A5910" s="1"/>
      <c r="H5910" s="2"/>
    </row>
    <row r="5911" spans="1:8" x14ac:dyDescent="0.25">
      <c r="A5911" s="1"/>
      <c r="H5911" s="2"/>
    </row>
    <row r="5912" spans="1:8" x14ac:dyDescent="0.25">
      <c r="A5912" s="1"/>
      <c r="H5912" s="2"/>
    </row>
    <row r="5913" spans="1:8" x14ac:dyDescent="0.25">
      <c r="A5913" s="1"/>
      <c r="H5913" s="2"/>
    </row>
    <row r="5914" spans="1:8" x14ac:dyDescent="0.25">
      <c r="A5914" s="1"/>
      <c r="H5914" s="2"/>
    </row>
    <row r="5915" spans="1:8" x14ac:dyDescent="0.25">
      <c r="A5915" s="1"/>
      <c r="H5915" s="2"/>
    </row>
    <row r="5916" spans="1:8" x14ac:dyDescent="0.25">
      <c r="A5916" s="1"/>
      <c r="H5916" s="2"/>
    </row>
    <row r="5917" spans="1:8" x14ac:dyDescent="0.25">
      <c r="A5917" s="1"/>
      <c r="H5917" s="2"/>
    </row>
    <row r="5918" spans="1:8" x14ac:dyDescent="0.25">
      <c r="A5918" s="1"/>
    </row>
    <row r="5919" spans="1:8" x14ac:dyDescent="0.25">
      <c r="A5919" s="1"/>
    </row>
    <row r="5920" spans="1:8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</sheetData>
  <mergeCells count="40">
    <mergeCell ref="A23:J35"/>
    <mergeCell ref="H1:J8"/>
    <mergeCell ref="A1:G8"/>
    <mergeCell ref="A2318:J2318"/>
    <mergeCell ref="A2981:H2981"/>
    <mergeCell ref="I2981:J2981"/>
    <mergeCell ref="A2982:J2982"/>
    <mergeCell ref="A1723:J1723"/>
    <mergeCell ref="A1990:H1990"/>
    <mergeCell ref="I1990:J1990"/>
    <mergeCell ref="A1991:J1991"/>
    <mergeCell ref="A2317:H2317"/>
    <mergeCell ref="I2317:J2317"/>
    <mergeCell ref="A1201:J1201"/>
    <mergeCell ref="A1443:H1443"/>
    <mergeCell ref="I1443:J1443"/>
    <mergeCell ref="A1444:J1444"/>
    <mergeCell ref="A1722:H1722"/>
    <mergeCell ref="I1722:J1722"/>
    <mergeCell ref="A648:J648"/>
    <mergeCell ref="A946:H946"/>
    <mergeCell ref="I946:J946"/>
    <mergeCell ref="A947:J947"/>
    <mergeCell ref="A1200:H1200"/>
    <mergeCell ref="I1200:J1200"/>
    <mergeCell ref="A336:J336"/>
    <mergeCell ref="A37:J37"/>
    <mergeCell ref="I335:J335"/>
    <mergeCell ref="A335:H335"/>
    <mergeCell ref="A647:H647"/>
    <mergeCell ref="I647:J647"/>
    <mergeCell ref="A3540:H3540"/>
    <mergeCell ref="I3540:J3540"/>
    <mergeCell ref="A3541:J3541"/>
    <mergeCell ref="A2646:H2646"/>
    <mergeCell ref="I2646:J2646"/>
    <mergeCell ref="A2647:J2647"/>
    <mergeCell ref="A3280:H3280"/>
    <mergeCell ref="I3280:J3280"/>
    <mergeCell ref="A3281:J3281"/>
  </mergeCells>
  <pageMargins left="0.25" right="0.25" top="0.75" bottom="0.75" header="0.3" footer="0.3"/>
  <pageSetup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M n 4 D U 3 4 p H o q k A A A A 9 Q A A A B I A H A B D b 2 5 m a W c v U G F j a 2 F n Z S 5 4 b W w g o h g A K K A U A A A A A A A A A A A A A A A A A A A A A A A A A A A A h Y 9 N D o I w F I S v Q r q n R f y J k k d Z u J X E h G j c N q V C I z w M L Z a 7 u f B I X k G M o u 5 c z n z f Y u Z + v U H S 1 5 V 3 U a 3 R D c Z k Q g P i K Z R N r r G I S W e P / p I k H L Z C n k S h v E F G E / U m j 0 l p 7 T l i z D l H 3 Z Q 2 b c H C I J i w Q 7 r J Z K l q Q T 6 y / i / 7 G o 0 V K B X h s H + N 4 S F d z e l i N k w C N n a Q a v z y c G B P + l P C u q t s 1 y q u 0 N 9 l w M Y I 7 H 2 B P w B Q S w M E F A A C A A g A M n 4 D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J + A 1 M o i k e 4 D g A A A B E A A A A T A B w A R m 9 y b X V s Y X M v U 2 V j d G l v b j E u b S C i G A A o o B Q A A A A A A A A A A A A A A A A A A A A A A A A A A A A r T k 0 u y c z P U w i G 0 I b W A F B L A Q I t A B Q A A g A I A D J + A 1 N + K R 6 K p A A A A P U A A A A S A A A A A A A A A A A A A A A A A A A A A A B D b 2 5 m a W c v U G F j a 2 F n Z S 5 4 b W x Q S w E C L Q A U A A I A C A A y f g N T D 8 r p q 6 Q A A A D p A A A A E w A A A A A A A A A A A A A A A A D w A A A A W 0 N v b n R l b n R f V H l w Z X N d L n h t b F B L A Q I t A B Q A A g A I A D J + A 1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H y 8 T 3 7 a 9 y R 6 5 D l G z / O v j o A A A A A A I A A A A A A B B m A A A A A Q A A I A A A A M g u 9 Z c a O H p i x S V 7 D t i V m F h S j / f 8 L / h T + i 4 f X i O 5 L V 7 K A A A A A A 6 A A A A A A g A A I A A A A O s T n 9 y k X z 5 j E 6 R e D / w q + K G Y t U x j J y G D y I q N J 2 v C E s V Q U A A A A N 9 5 C J E o 7 0 / o J u w q X U w m C F q 8 w G n n 8 e s 7 F f M r M m B b h G o 4 F A d w M T j P t E 6 y e j q B w W / 7 l O u s M 4 F c C F A F + k e a O P T 5 H v f F T v v u N X X 4 N U U X + h d z H f 4 w Q A A A A L c 3 V h 9 V g v Z j c y v m T W E O p q 4 S A t h A I e R 7 1 l 3 n h D M x W O 5 i r X 5 R t L A 2 Z q A p A 4 R c U g R A c N o + E 7 E Z Y J 4 z h M b m 2 z 6 v E T w = < / D a t a M a s h u p > 
</file>

<file path=customXml/itemProps1.xml><?xml version="1.0" encoding="utf-8"?>
<ds:datastoreItem xmlns:ds="http://schemas.openxmlformats.org/officeDocument/2006/customXml" ds:itemID="{3D310586-C37F-426D-93B3-27FF6D1396B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Freddywills's_Records_-_08-03-2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Wills</dc:creator>
  <cp:lastModifiedBy>fw</cp:lastModifiedBy>
  <dcterms:created xsi:type="dcterms:W3CDTF">2021-08-03T21:06:39Z</dcterms:created>
  <dcterms:modified xsi:type="dcterms:W3CDTF">2021-08-04T01:10:24Z</dcterms:modified>
</cp:coreProperties>
</file>